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715"/>
  <workbookPr/>
  <mc:AlternateContent xmlns:mc="http://schemas.openxmlformats.org/markup-compatibility/2006">
    <mc:Choice Requires="x15">
      <x15ac:absPath xmlns:x15ac="http://schemas.microsoft.com/office/spreadsheetml/2010/11/ac" url="/Users/fredrik/Dropbox (Energiforsk)/Bolagsgemensam/Forskningsrapporter Energiforsk/Publicerade rapporter/2016_321 Fatstighetsnära säsongslagring av fjärrvärme/Underlag/"/>
    </mc:Choice>
  </mc:AlternateContent>
  <bookViews>
    <workbookView xWindow="14480" yWindow="460" windowWidth="14320" windowHeight="14560"/>
  </bookViews>
  <sheets>
    <sheet name="INDATA" sheetId="1" r:id="rId1"/>
    <sheet name="UTDATA" sheetId="3" r:id="rId2"/>
    <sheet name="ÄNDRINGSBARA PARAMETRAR" sheetId="2" r:id="rId3"/>
    <sheet name="LÅSTA PARAMETRAR" sheetId="4" r:id="rId4"/>
    <sheet name="INTERNA BERÄKNINGAR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76" i="5" l="1"/>
  <c r="B179" i="5"/>
  <c r="B11" i="5"/>
  <c r="N53" i="4"/>
  <c r="N54" i="4"/>
  <c r="N55" i="4"/>
  <c r="AC18" i="5"/>
  <c r="AC53" i="4"/>
  <c r="AC54" i="4"/>
  <c r="AC55" i="4"/>
  <c r="AR18" i="5"/>
  <c r="BG18" i="5"/>
  <c r="B12" i="5"/>
  <c r="A51" i="4"/>
  <c r="P14" i="5"/>
  <c r="P51" i="4"/>
  <c r="AE14" i="5"/>
  <c r="AT14" i="5"/>
  <c r="C12" i="5"/>
  <c r="N18" i="5"/>
  <c r="B181" i="5"/>
  <c r="B183" i="5"/>
  <c r="B184" i="5"/>
  <c r="B180" i="5"/>
  <c r="B185" i="5"/>
  <c r="B188" i="5"/>
  <c r="B55" i="4"/>
  <c r="Q18" i="5"/>
  <c r="Q55" i="4"/>
  <c r="AF18" i="5"/>
  <c r="AU18" i="5"/>
  <c r="B18" i="5"/>
  <c r="B195" i="5"/>
  <c r="C176" i="5"/>
  <c r="C188" i="5"/>
  <c r="C55" i="4"/>
  <c r="R18" i="5"/>
  <c r="R55" i="4"/>
  <c r="AG18" i="5"/>
  <c r="AV18" i="5"/>
  <c r="C18" i="5"/>
  <c r="C195" i="5"/>
  <c r="D176" i="5"/>
  <c r="D188" i="5"/>
  <c r="D55" i="4"/>
  <c r="S18" i="5"/>
  <c r="S55" i="4"/>
  <c r="AH18" i="5"/>
  <c r="AW18" i="5"/>
  <c r="D18" i="5"/>
  <c r="D195" i="5"/>
  <c r="E176" i="5"/>
  <c r="E188" i="5"/>
  <c r="E55" i="4"/>
  <c r="T18" i="5"/>
  <c r="T55" i="4"/>
  <c r="AI18" i="5"/>
  <c r="AX18" i="5"/>
  <c r="E18" i="5"/>
  <c r="E195" i="5"/>
  <c r="F176" i="5"/>
  <c r="F188" i="5"/>
  <c r="F55" i="4"/>
  <c r="U18" i="5"/>
  <c r="U55" i="4"/>
  <c r="AJ18" i="5"/>
  <c r="AY18" i="5"/>
  <c r="F18" i="5"/>
  <c r="F195" i="5"/>
  <c r="G176" i="5"/>
  <c r="G188" i="5"/>
  <c r="G55" i="4"/>
  <c r="V18" i="5"/>
  <c r="V55" i="4"/>
  <c r="AK18" i="5"/>
  <c r="AZ18" i="5"/>
  <c r="G18" i="5"/>
  <c r="G195" i="5"/>
  <c r="H176" i="5"/>
  <c r="H188" i="5"/>
  <c r="H55" i="4"/>
  <c r="W18" i="5"/>
  <c r="W55" i="4"/>
  <c r="AL18" i="5"/>
  <c r="BA18" i="5"/>
  <c r="H18" i="5"/>
  <c r="H195" i="5"/>
  <c r="I176" i="5"/>
  <c r="I188" i="5"/>
  <c r="I55" i="4"/>
  <c r="X18" i="5"/>
  <c r="X55" i="4"/>
  <c r="AM18" i="5"/>
  <c r="BB18" i="5"/>
  <c r="I18" i="5"/>
  <c r="I195" i="5"/>
  <c r="J176" i="5"/>
  <c r="J188" i="5"/>
  <c r="J55" i="4"/>
  <c r="Y18" i="5"/>
  <c r="Y55" i="4"/>
  <c r="AN18" i="5"/>
  <c r="BC18" i="5"/>
  <c r="J18" i="5"/>
  <c r="J195" i="5"/>
  <c r="K176" i="5"/>
  <c r="K188" i="5"/>
  <c r="K55" i="4"/>
  <c r="Z18" i="5"/>
  <c r="Z55" i="4"/>
  <c r="AO18" i="5"/>
  <c r="BD18" i="5"/>
  <c r="K18" i="5"/>
  <c r="K195" i="5"/>
  <c r="L176" i="5"/>
  <c r="L188" i="5"/>
  <c r="L55" i="4"/>
  <c r="AA18" i="5"/>
  <c r="AA55" i="4"/>
  <c r="AP18" i="5"/>
  <c r="BE18" i="5"/>
  <c r="L18" i="5"/>
  <c r="L195" i="5"/>
  <c r="M176" i="5"/>
  <c r="M188" i="5"/>
  <c r="M55" i="4"/>
  <c r="AB18" i="5"/>
  <c r="AB55" i="4"/>
  <c r="AQ18" i="5"/>
  <c r="BF18" i="5"/>
  <c r="M18" i="5"/>
  <c r="M195" i="5"/>
  <c r="N195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AB207" i="5"/>
  <c r="AC207" i="5"/>
  <c r="B207" i="5"/>
  <c r="B208" i="5"/>
  <c r="B133" i="5"/>
  <c r="N63" i="4"/>
  <c r="AC26" i="5"/>
  <c r="AC63" i="4"/>
  <c r="AR26" i="5"/>
  <c r="BG26" i="5"/>
  <c r="N26" i="5"/>
  <c r="B136" i="5"/>
  <c r="B111" i="4"/>
  <c r="B114" i="4"/>
  <c r="Q111" i="4"/>
  <c r="Q114" i="4"/>
  <c r="B212" i="2"/>
  <c r="B140" i="5"/>
  <c r="AC17" i="5"/>
  <c r="AR17" i="5"/>
  <c r="BG17" i="5"/>
  <c r="N17" i="5"/>
  <c r="B144" i="5"/>
  <c r="B149" i="5"/>
  <c r="B155" i="5"/>
  <c r="C212" i="5"/>
  <c r="B212" i="5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AC23" i="5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R23" i="5"/>
  <c r="BG23" i="5"/>
  <c r="N23" i="5"/>
  <c r="B160" i="5"/>
  <c r="B161" i="5"/>
  <c r="B162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R213" i="5"/>
  <c r="S213" i="5"/>
  <c r="T213" i="5"/>
  <c r="U213" i="5"/>
  <c r="V213" i="5"/>
  <c r="W213" i="5"/>
  <c r="X213" i="5"/>
  <c r="Y213" i="5"/>
  <c r="Z213" i="5"/>
  <c r="AA213" i="5"/>
  <c r="AB213" i="5"/>
  <c r="AC213" i="5"/>
  <c r="B213" i="5"/>
  <c r="Q23" i="5"/>
  <c r="AF23" i="5"/>
  <c r="AU23" i="5"/>
  <c r="B23" i="5"/>
  <c r="B76" i="3"/>
  <c r="B87" i="3"/>
  <c r="B92" i="3"/>
  <c r="Q109" i="3"/>
  <c r="P87" i="5"/>
  <c r="B114" i="5"/>
  <c r="B93" i="3"/>
  <c r="Q110" i="3"/>
  <c r="P88" i="5"/>
  <c r="B115" i="5"/>
  <c r="B94" i="3"/>
  <c r="Q111" i="3"/>
  <c r="P89" i="5"/>
  <c r="B116" i="5"/>
  <c r="B95" i="3"/>
  <c r="Q112" i="3"/>
  <c r="P90" i="5"/>
  <c r="B117" i="5"/>
  <c r="B96" i="3"/>
  <c r="Q113" i="3"/>
  <c r="P91" i="5"/>
  <c r="B118" i="5"/>
  <c r="B97" i="3"/>
  <c r="Q114" i="3"/>
  <c r="P92" i="5"/>
  <c r="B119" i="5"/>
  <c r="B98" i="3"/>
  <c r="Q115" i="3"/>
  <c r="P93" i="5"/>
  <c r="B120" i="5"/>
  <c r="B99" i="3"/>
  <c r="Q116" i="3"/>
  <c r="P94" i="5"/>
  <c r="B121" i="5"/>
  <c r="B100" i="3"/>
  <c r="Q117" i="3"/>
  <c r="P95" i="5"/>
  <c r="B122" i="5"/>
  <c r="B101" i="3"/>
  <c r="Q118" i="3"/>
  <c r="P96" i="5"/>
  <c r="B123" i="5"/>
  <c r="P97" i="5"/>
  <c r="B191" i="5"/>
  <c r="Q32" i="5"/>
  <c r="AF32" i="5"/>
  <c r="AU32" i="5"/>
  <c r="B32" i="5"/>
  <c r="B168" i="5"/>
  <c r="R23" i="5"/>
  <c r="AG23" i="5"/>
  <c r="AV23" i="5"/>
  <c r="C23" i="5"/>
  <c r="C76" i="3"/>
  <c r="C87" i="3"/>
  <c r="C92" i="3"/>
  <c r="R109" i="3"/>
  <c r="Q87" i="5"/>
  <c r="C114" i="5"/>
  <c r="C93" i="3"/>
  <c r="R110" i="3"/>
  <c r="Q88" i="5"/>
  <c r="C115" i="5"/>
  <c r="C94" i="3"/>
  <c r="R111" i="3"/>
  <c r="Q89" i="5"/>
  <c r="C116" i="5"/>
  <c r="C95" i="3"/>
  <c r="R112" i="3"/>
  <c r="Q90" i="5"/>
  <c r="C117" i="5"/>
  <c r="C96" i="3"/>
  <c r="R113" i="3"/>
  <c r="Q91" i="5"/>
  <c r="C118" i="5"/>
  <c r="C97" i="3"/>
  <c r="R114" i="3"/>
  <c r="Q92" i="5"/>
  <c r="C119" i="5"/>
  <c r="C98" i="3"/>
  <c r="R115" i="3"/>
  <c r="Q93" i="5"/>
  <c r="C120" i="5"/>
  <c r="C99" i="3"/>
  <c r="R116" i="3"/>
  <c r="Q94" i="5"/>
  <c r="C121" i="5"/>
  <c r="C100" i="3"/>
  <c r="R117" i="3"/>
  <c r="Q95" i="5"/>
  <c r="C122" i="5"/>
  <c r="C101" i="3"/>
  <c r="R118" i="3"/>
  <c r="Q96" i="5"/>
  <c r="C123" i="5"/>
  <c r="Q97" i="5"/>
  <c r="C191" i="5"/>
  <c r="R32" i="5"/>
  <c r="AG32" i="5"/>
  <c r="AV32" i="5"/>
  <c r="C32" i="5"/>
  <c r="C168" i="5"/>
  <c r="S23" i="5"/>
  <c r="AH23" i="5"/>
  <c r="AW23" i="5"/>
  <c r="D23" i="5"/>
  <c r="D76" i="3"/>
  <c r="D87" i="3"/>
  <c r="D92" i="3"/>
  <c r="S109" i="3"/>
  <c r="R87" i="5"/>
  <c r="D114" i="5"/>
  <c r="D93" i="3"/>
  <c r="S110" i="3"/>
  <c r="R88" i="5"/>
  <c r="D115" i="5"/>
  <c r="D94" i="3"/>
  <c r="S111" i="3"/>
  <c r="R89" i="5"/>
  <c r="D116" i="5"/>
  <c r="D95" i="3"/>
  <c r="S112" i="3"/>
  <c r="R90" i="5"/>
  <c r="D117" i="5"/>
  <c r="D96" i="3"/>
  <c r="S113" i="3"/>
  <c r="R91" i="5"/>
  <c r="D118" i="5"/>
  <c r="D97" i="3"/>
  <c r="S114" i="3"/>
  <c r="R92" i="5"/>
  <c r="D119" i="5"/>
  <c r="D98" i="3"/>
  <c r="S115" i="3"/>
  <c r="R93" i="5"/>
  <c r="D120" i="5"/>
  <c r="D99" i="3"/>
  <c r="S116" i="3"/>
  <c r="R94" i="5"/>
  <c r="D121" i="5"/>
  <c r="D100" i="3"/>
  <c r="S117" i="3"/>
  <c r="R95" i="5"/>
  <c r="D122" i="5"/>
  <c r="D101" i="3"/>
  <c r="S118" i="3"/>
  <c r="R96" i="5"/>
  <c r="D123" i="5"/>
  <c r="R97" i="5"/>
  <c r="D191" i="5"/>
  <c r="S32" i="5"/>
  <c r="AH32" i="5"/>
  <c r="AW32" i="5"/>
  <c r="D32" i="5"/>
  <c r="D168" i="5"/>
  <c r="T23" i="5"/>
  <c r="AI23" i="5"/>
  <c r="AX23" i="5"/>
  <c r="E23" i="5"/>
  <c r="E76" i="3"/>
  <c r="E87" i="3"/>
  <c r="E92" i="3"/>
  <c r="T109" i="3"/>
  <c r="S87" i="5"/>
  <c r="E114" i="5"/>
  <c r="E93" i="3"/>
  <c r="T110" i="3"/>
  <c r="S88" i="5"/>
  <c r="E115" i="5"/>
  <c r="E94" i="3"/>
  <c r="T111" i="3"/>
  <c r="S89" i="5"/>
  <c r="E116" i="5"/>
  <c r="E95" i="3"/>
  <c r="T112" i="3"/>
  <c r="S90" i="5"/>
  <c r="E117" i="5"/>
  <c r="E96" i="3"/>
  <c r="T113" i="3"/>
  <c r="S91" i="5"/>
  <c r="E118" i="5"/>
  <c r="E97" i="3"/>
  <c r="T114" i="3"/>
  <c r="S92" i="5"/>
  <c r="E119" i="5"/>
  <c r="E98" i="3"/>
  <c r="T115" i="3"/>
  <c r="S93" i="5"/>
  <c r="E120" i="5"/>
  <c r="E99" i="3"/>
  <c r="T116" i="3"/>
  <c r="S94" i="5"/>
  <c r="E121" i="5"/>
  <c r="E100" i="3"/>
  <c r="T117" i="3"/>
  <c r="S95" i="5"/>
  <c r="E122" i="5"/>
  <c r="E101" i="3"/>
  <c r="T118" i="3"/>
  <c r="S96" i="5"/>
  <c r="E123" i="5"/>
  <c r="S97" i="5"/>
  <c r="E191" i="5"/>
  <c r="T32" i="5"/>
  <c r="AI32" i="5"/>
  <c r="AX32" i="5"/>
  <c r="E32" i="5"/>
  <c r="E168" i="5"/>
  <c r="U23" i="5"/>
  <c r="AJ23" i="5"/>
  <c r="AY23" i="5"/>
  <c r="F23" i="5"/>
  <c r="F76" i="3"/>
  <c r="F87" i="3"/>
  <c r="F92" i="3"/>
  <c r="U109" i="3"/>
  <c r="T87" i="5"/>
  <c r="F114" i="5"/>
  <c r="F93" i="3"/>
  <c r="U110" i="3"/>
  <c r="T88" i="5"/>
  <c r="F115" i="5"/>
  <c r="F94" i="3"/>
  <c r="U111" i="3"/>
  <c r="T89" i="5"/>
  <c r="F116" i="5"/>
  <c r="F95" i="3"/>
  <c r="U112" i="3"/>
  <c r="T90" i="5"/>
  <c r="F117" i="5"/>
  <c r="F96" i="3"/>
  <c r="U113" i="3"/>
  <c r="T91" i="5"/>
  <c r="F118" i="5"/>
  <c r="F97" i="3"/>
  <c r="U114" i="3"/>
  <c r="T92" i="5"/>
  <c r="F119" i="5"/>
  <c r="F98" i="3"/>
  <c r="U115" i="3"/>
  <c r="T93" i="5"/>
  <c r="F120" i="5"/>
  <c r="F99" i="3"/>
  <c r="U116" i="3"/>
  <c r="T94" i="5"/>
  <c r="F121" i="5"/>
  <c r="F100" i="3"/>
  <c r="U117" i="3"/>
  <c r="T95" i="5"/>
  <c r="F122" i="5"/>
  <c r="F101" i="3"/>
  <c r="U118" i="3"/>
  <c r="T96" i="5"/>
  <c r="F123" i="5"/>
  <c r="T97" i="5"/>
  <c r="F191" i="5"/>
  <c r="U32" i="5"/>
  <c r="AJ32" i="5"/>
  <c r="AY32" i="5"/>
  <c r="F32" i="5"/>
  <c r="F168" i="5"/>
  <c r="V23" i="5"/>
  <c r="AK23" i="5"/>
  <c r="AZ23" i="5"/>
  <c r="G23" i="5"/>
  <c r="G76" i="3"/>
  <c r="G87" i="3"/>
  <c r="G92" i="3"/>
  <c r="V109" i="3"/>
  <c r="U87" i="5"/>
  <c r="G114" i="5"/>
  <c r="G93" i="3"/>
  <c r="V110" i="3"/>
  <c r="U88" i="5"/>
  <c r="G115" i="5"/>
  <c r="G94" i="3"/>
  <c r="V111" i="3"/>
  <c r="U89" i="5"/>
  <c r="G116" i="5"/>
  <c r="G95" i="3"/>
  <c r="V112" i="3"/>
  <c r="U90" i="5"/>
  <c r="G117" i="5"/>
  <c r="G96" i="3"/>
  <c r="V113" i="3"/>
  <c r="U91" i="5"/>
  <c r="G118" i="5"/>
  <c r="G97" i="3"/>
  <c r="V114" i="3"/>
  <c r="U92" i="5"/>
  <c r="G119" i="5"/>
  <c r="G98" i="3"/>
  <c r="V115" i="3"/>
  <c r="U93" i="5"/>
  <c r="G120" i="5"/>
  <c r="G99" i="3"/>
  <c r="V116" i="3"/>
  <c r="U94" i="5"/>
  <c r="G121" i="5"/>
  <c r="G100" i="3"/>
  <c r="V117" i="3"/>
  <c r="U95" i="5"/>
  <c r="G122" i="5"/>
  <c r="G101" i="3"/>
  <c r="V118" i="3"/>
  <c r="U96" i="5"/>
  <c r="G123" i="5"/>
  <c r="U97" i="5"/>
  <c r="G191" i="5"/>
  <c r="V32" i="5"/>
  <c r="AK32" i="5"/>
  <c r="AZ32" i="5"/>
  <c r="G32" i="5"/>
  <c r="G168" i="5"/>
  <c r="W23" i="5"/>
  <c r="AL23" i="5"/>
  <c r="BA23" i="5"/>
  <c r="H23" i="5"/>
  <c r="H76" i="3"/>
  <c r="H87" i="3"/>
  <c r="H92" i="3"/>
  <c r="W109" i="3"/>
  <c r="V87" i="5"/>
  <c r="H114" i="5"/>
  <c r="H93" i="3"/>
  <c r="W110" i="3"/>
  <c r="V88" i="5"/>
  <c r="H115" i="5"/>
  <c r="H94" i="3"/>
  <c r="W111" i="3"/>
  <c r="V89" i="5"/>
  <c r="H116" i="5"/>
  <c r="H95" i="3"/>
  <c r="W112" i="3"/>
  <c r="V90" i="5"/>
  <c r="H117" i="5"/>
  <c r="H96" i="3"/>
  <c r="W113" i="3"/>
  <c r="V91" i="5"/>
  <c r="H118" i="5"/>
  <c r="H97" i="3"/>
  <c r="W114" i="3"/>
  <c r="V92" i="5"/>
  <c r="H119" i="5"/>
  <c r="H98" i="3"/>
  <c r="W115" i="3"/>
  <c r="V93" i="5"/>
  <c r="H120" i="5"/>
  <c r="H99" i="3"/>
  <c r="W116" i="3"/>
  <c r="V94" i="5"/>
  <c r="H121" i="5"/>
  <c r="H100" i="3"/>
  <c r="W117" i="3"/>
  <c r="V95" i="5"/>
  <c r="H122" i="5"/>
  <c r="H101" i="3"/>
  <c r="W118" i="3"/>
  <c r="V96" i="5"/>
  <c r="H123" i="5"/>
  <c r="V97" i="5"/>
  <c r="H191" i="5"/>
  <c r="W32" i="5"/>
  <c r="AL32" i="5"/>
  <c r="BA32" i="5"/>
  <c r="H32" i="5"/>
  <c r="H168" i="5"/>
  <c r="X23" i="5"/>
  <c r="AM23" i="5"/>
  <c r="BB23" i="5"/>
  <c r="I23" i="5"/>
  <c r="I76" i="3"/>
  <c r="I87" i="3"/>
  <c r="I92" i="3"/>
  <c r="X109" i="3"/>
  <c r="W87" i="5"/>
  <c r="I114" i="5"/>
  <c r="I93" i="3"/>
  <c r="X110" i="3"/>
  <c r="W88" i="5"/>
  <c r="I115" i="5"/>
  <c r="I94" i="3"/>
  <c r="X111" i="3"/>
  <c r="W89" i="5"/>
  <c r="I116" i="5"/>
  <c r="I95" i="3"/>
  <c r="X112" i="3"/>
  <c r="W90" i="5"/>
  <c r="I117" i="5"/>
  <c r="I96" i="3"/>
  <c r="X113" i="3"/>
  <c r="W91" i="5"/>
  <c r="I118" i="5"/>
  <c r="I97" i="3"/>
  <c r="X114" i="3"/>
  <c r="W92" i="5"/>
  <c r="I119" i="5"/>
  <c r="I98" i="3"/>
  <c r="X115" i="3"/>
  <c r="W93" i="5"/>
  <c r="I120" i="5"/>
  <c r="I99" i="3"/>
  <c r="X116" i="3"/>
  <c r="W94" i="5"/>
  <c r="I121" i="5"/>
  <c r="I100" i="3"/>
  <c r="X117" i="3"/>
  <c r="W95" i="5"/>
  <c r="I122" i="5"/>
  <c r="I101" i="3"/>
  <c r="X118" i="3"/>
  <c r="W96" i="5"/>
  <c r="I123" i="5"/>
  <c r="W97" i="5"/>
  <c r="I191" i="5"/>
  <c r="X32" i="5"/>
  <c r="AM32" i="5"/>
  <c r="BB32" i="5"/>
  <c r="I32" i="5"/>
  <c r="I168" i="5"/>
  <c r="Y23" i="5"/>
  <c r="AN23" i="5"/>
  <c r="BC23" i="5"/>
  <c r="J23" i="5"/>
  <c r="J76" i="3"/>
  <c r="J87" i="3"/>
  <c r="J92" i="3"/>
  <c r="Y109" i="3"/>
  <c r="X87" i="5"/>
  <c r="J114" i="5"/>
  <c r="J93" i="3"/>
  <c r="Y110" i="3"/>
  <c r="X88" i="5"/>
  <c r="J115" i="5"/>
  <c r="J94" i="3"/>
  <c r="Y111" i="3"/>
  <c r="X89" i="5"/>
  <c r="J116" i="5"/>
  <c r="J95" i="3"/>
  <c r="Y112" i="3"/>
  <c r="X90" i="5"/>
  <c r="J117" i="5"/>
  <c r="J96" i="3"/>
  <c r="Y113" i="3"/>
  <c r="X91" i="5"/>
  <c r="J118" i="5"/>
  <c r="J97" i="3"/>
  <c r="Y114" i="3"/>
  <c r="X92" i="5"/>
  <c r="J119" i="5"/>
  <c r="J98" i="3"/>
  <c r="Y115" i="3"/>
  <c r="X93" i="5"/>
  <c r="J120" i="5"/>
  <c r="J99" i="3"/>
  <c r="Y116" i="3"/>
  <c r="X94" i="5"/>
  <c r="J121" i="5"/>
  <c r="J100" i="3"/>
  <c r="Y117" i="3"/>
  <c r="X95" i="5"/>
  <c r="J122" i="5"/>
  <c r="J101" i="3"/>
  <c r="Y118" i="3"/>
  <c r="X96" i="5"/>
  <c r="J123" i="5"/>
  <c r="X97" i="5"/>
  <c r="J191" i="5"/>
  <c r="Y32" i="5"/>
  <c r="AN32" i="5"/>
  <c r="BC32" i="5"/>
  <c r="J32" i="5"/>
  <c r="J168" i="5"/>
  <c r="Z23" i="5"/>
  <c r="AO23" i="5"/>
  <c r="BD23" i="5"/>
  <c r="K23" i="5"/>
  <c r="K76" i="3"/>
  <c r="K87" i="3"/>
  <c r="K92" i="3"/>
  <c r="Z109" i="3"/>
  <c r="Y87" i="5"/>
  <c r="K114" i="5"/>
  <c r="K93" i="3"/>
  <c r="Z110" i="3"/>
  <c r="Y88" i="5"/>
  <c r="K115" i="5"/>
  <c r="K94" i="3"/>
  <c r="Z111" i="3"/>
  <c r="Y89" i="5"/>
  <c r="K116" i="5"/>
  <c r="K95" i="3"/>
  <c r="Z112" i="3"/>
  <c r="Y90" i="5"/>
  <c r="K117" i="5"/>
  <c r="K96" i="3"/>
  <c r="Z113" i="3"/>
  <c r="Y91" i="5"/>
  <c r="K118" i="5"/>
  <c r="K97" i="3"/>
  <c r="Z114" i="3"/>
  <c r="Y92" i="5"/>
  <c r="K119" i="5"/>
  <c r="K98" i="3"/>
  <c r="Z115" i="3"/>
  <c r="Y93" i="5"/>
  <c r="K120" i="5"/>
  <c r="K99" i="3"/>
  <c r="Z116" i="3"/>
  <c r="Y94" i="5"/>
  <c r="K121" i="5"/>
  <c r="K100" i="3"/>
  <c r="Z117" i="3"/>
  <c r="Y95" i="5"/>
  <c r="K122" i="5"/>
  <c r="K101" i="3"/>
  <c r="Z118" i="3"/>
  <c r="Y96" i="5"/>
  <c r="K123" i="5"/>
  <c r="Y97" i="5"/>
  <c r="K191" i="5"/>
  <c r="Z32" i="5"/>
  <c r="AO32" i="5"/>
  <c r="BD32" i="5"/>
  <c r="K32" i="5"/>
  <c r="K168" i="5"/>
  <c r="AA23" i="5"/>
  <c r="AP23" i="5"/>
  <c r="BE23" i="5"/>
  <c r="L23" i="5"/>
  <c r="L76" i="3"/>
  <c r="L87" i="3"/>
  <c r="L92" i="3"/>
  <c r="AA109" i="3"/>
  <c r="Z87" i="5"/>
  <c r="L114" i="5"/>
  <c r="L93" i="3"/>
  <c r="AA110" i="3"/>
  <c r="Z88" i="5"/>
  <c r="L115" i="5"/>
  <c r="L94" i="3"/>
  <c r="AA111" i="3"/>
  <c r="Z89" i="5"/>
  <c r="L116" i="5"/>
  <c r="L95" i="3"/>
  <c r="AA112" i="3"/>
  <c r="Z90" i="5"/>
  <c r="L117" i="5"/>
  <c r="L96" i="3"/>
  <c r="AA113" i="3"/>
  <c r="Z91" i="5"/>
  <c r="L118" i="5"/>
  <c r="L97" i="3"/>
  <c r="AA114" i="3"/>
  <c r="Z92" i="5"/>
  <c r="L119" i="5"/>
  <c r="L98" i="3"/>
  <c r="AA115" i="3"/>
  <c r="Z93" i="5"/>
  <c r="L120" i="5"/>
  <c r="L99" i="3"/>
  <c r="AA116" i="3"/>
  <c r="Z94" i="5"/>
  <c r="L121" i="5"/>
  <c r="L100" i="3"/>
  <c r="AA117" i="3"/>
  <c r="Z95" i="5"/>
  <c r="L122" i="5"/>
  <c r="L101" i="3"/>
  <c r="AA118" i="3"/>
  <c r="Z96" i="5"/>
  <c r="L123" i="5"/>
  <c r="Z97" i="5"/>
  <c r="L191" i="5"/>
  <c r="AA32" i="5"/>
  <c r="AP32" i="5"/>
  <c r="BE32" i="5"/>
  <c r="L32" i="5"/>
  <c r="L168" i="5"/>
  <c r="AB23" i="5"/>
  <c r="AQ23" i="5"/>
  <c r="BF23" i="5"/>
  <c r="M23" i="5"/>
  <c r="M76" i="3"/>
  <c r="M87" i="3"/>
  <c r="M92" i="3"/>
  <c r="AB109" i="3"/>
  <c r="AA87" i="5"/>
  <c r="M114" i="5"/>
  <c r="M93" i="3"/>
  <c r="AB110" i="3"/>
  <c r="AA88" i="5"/>
  <c r="M115" i="5"/>
  <c r="M94" i="3"/>
  <c r="AB111" i="3"/>
  <c r="AA89" i="5"/>
  <c r="M116" i="5"/>
  <c r="M95" i="3"/>
  <c r="AB112" i="3"/>
  <c r="AA90" i="5"/>
  <c r="M117" i="5"/>
  <c r="M96" i="3"/>
  <c r="AB113" i="3"/>
  <c r="AA91" i="5"/>
  <c r="M118" i="5"/>
  <c r="M97" i="3"/>
  <c r="AB114" i="3"/>
  <c r="AA92" i="5"/>
  <c r="M119" i="5"/>
  <c r="M98" i="3"/>
  <c r="AB115" i="3"/>
  <c r="AA93" i="5"/>
  <c r="M120" i="5"/>
  <c r="M99" i="3"/>
  <c r="AB116" i="3"/>
  <c r="AA94" i="5"/>
  <c r="M121" i="5"/>
  <c r="M100" i="3"/>
  <c r="AB117" i="3"/>
  <c r="AA95" i="5"/>
  <c r="M122" i="5"/>
  <c r="M101" i="3"/>
  <c r="AB118" i="3"/>
  <c r="AA96" i="5"/>
  <c r="M123" i="5"/>
  <c r="AA97" i="5"/>
  <c r="M191" i="5"/>
  <c r="AB32" i="5"/>
  <c r="AQ32" i="5"/>
  <c r="BF32" i="5"/>
  <c r="M32" i="5"/>
  <c r="M168" i="5"/>
  <c r="N168" i="5"/>
  <c r="D214" i="5"/>
  <c r="Q33" i="5"/>
  <c r="AF33" i="5"/>
  <c r="AU33" i="5"/>
  <c r="B33" i="5"/>
  <c r="B169" i="5"/>
  <c r="R33" i="5"/>
  <c r="AG33" i="5"/>
  <c r="AV33" i="5"/>
  <c r="C33" i="5"/>
  <c r="C169" i="5"/>
  <c r="S33" i="5"/>
  <c r="AH33" i="5"/>
  <c r="AW33" i="5"/>
  <c r="D33" i="5"/>
  <c r="D169" i="5"/>
  <c r="T33" i="5"/>
  <c r="AI33" i="5"/>
  <c r="AX33" i="5"/>
  <c r="E33" i="5"/>
  <c r="E169" i="5"/>
  <c r="U33" i="5"/>
  <c r="AJ33" i="5"/>
  <c r="AY33" i="5"/>
  <c r="F33" i="5"/>
  <c r="F169" i="5"/>
  <c r="V33" i="5"/>
  <c r="AK33" i="5"/>
  <c r="AZ33" i="5"/>
  <c r="G33" i="5"/>
  <c r="G169" i="5"/>
  <c r="W33" i="5"/>
  <c r="AL33" i="5"/>
  <c r="BA33" i="5"/>
  <c r="H33" i="5"/>
  <c r="H169" i="5"/>
  <c r="X33" i="5"/>
  <c r="AM33" i="5"/>
  <c r="BB33" i="5"/>
  <c r="I33" i="5"/>
  <c r="I169" i="5"/>
  <c r="Y33" i="5"/>
  <c r="AN33" i="5"/>
  <c r="BC33" i="5"/>
  <c r="J33" i="5"/>
  <c r="J169" i="5"/>
  <c r="Z33" i="5"/>
  <c r="AO33" i="5"/>
  <c r="BD33" i="5"/>
  <c r="K33" i="5"/>
  <c r="K169" i="5"/>
  <c r="AA33" i="5"/>
  <c r="AP33" i="5"/>
  <c r="BE33" i="5"/>
  <c r="L33" i="5"/>
  <c r="L169" i="5"/>
  <c r="AB33" i="5"/>
  <c r="AQ33" i="5"/>
  <c r="BF33" i="5"/>
  <c r="M33" i="5"/>
  <c r="M169" i="5"/>
  <c r="N169" i="5"/>
  <c r="E214" i="5"/>
  <c r="B214" i="5"/>
  <c r="Q21" i="5"/>
  <c r="AF21" i="5"/>
  <c r="AU21" i="5"/>
  <c r="B21" i="5"/>
  <c r="B197" i="5"/>
  <c r="Q22" i="5"/>
  <c r="AF22" i="5"/>
  <c r="AU22" i="5"/>
  <c r="B22" i="5"/>
  <c r="B198" i="5"/>
  <c r="B199" i="5"/>
  <c r="R21" i="5"/>
  <c r="AG21" i="5"/>
  <c r="AV21" i="5"/>
  <c r="C21" i="5"/>
  <c r="C197" i="5"/>
  <c r="R22" i="5"/>
  <c r="AG22" i="5"/>
  <c r="AV22" i="5"/>
  <c r="C22" i="5"/>
  <c r="C198" i="5"/>
  <c r="C199" i="5"/>
  <c r="S21" i="5"/>
  <c r="AH21" i="5"/>
  <c r="AW21" i="5"/>
  <c r="D21" i="5"/>
  <c r="D197" i="5"/>
  <c r="S22" i="5"/>
  <c r="AH22" i="5"/>
  <c r="AW22" i="5"/>
  <c r="D22" i="5"/>
  <c r="D198" i="5"/>
  <c r="D199" i="5"/>
  <c r="T21" i="5"/>
  <c r="AI21" i="5"/>
  <c r="AX21" i="5"/>
  <c r="E21" i="5"/>
  <c r="E197" i="5"/>
  <c r="T22" i="5"/>
  <c r="AI22" i="5"/>
  <c r="AX22" i="5"/>
  <c r="E22" i="5"/>
  <c r="E198" i="5"/>
  <c r="E199" i="5"/>
  <c r="U21" i="5"/>
  <c r="AJ21" i="5"/>
  <c r="AY21" i="5"/>
  <c r="F21" i="5"/>
  <c r="F197" i="5"/>
  <c r="U22" i="5"/>
  <c r="AJ22" i="5"/>
  <c r="AY22" i="5"/>
  <c r="F22" i="5"/>
  <c r="F198" i="5"/>
  <c r="F199" i="5"/>
  <c r="V21" i="5"/>
  <c r="AK21" i="5"/>
  <c r="AZ21" i="5"/>
  <c r="G21" i="5"/>
  <c r="G197" i="5"/>
  <c r="V22" i="5"/>
  <c r="AK22" i="5"/>
  <c r="AZ22" i="5"/>
  <c r="G22" i="5"/>
  <c r="G198" i="5"/>
  <c r="G199" i="5"/>
  <c r="W21" i="5"/>
  <c r="AL21" i="5"/>
  <c r="BA21" i="5"/>
  <c r="H21" i="5"/>
  <c r="H197" i="5"/>
  <c r="W22" i="5"/>
  <c r="AL22" i="5"/>
  <c r="BA22" i="5"/>
  <c r="H22" i="5"/>
  <c r="H198" i="5"/>
  <c r="H199" i="5"/>
  <c r="X21" i="5"/>
  <c r="AM21" i="5"/>
  <c r="BB21" i="5"/>
  <c r="I21" i="5"/>
  <c r="I197" i="5"/>
  <c r="X22" i="5"/>
  <c r="AM22" i="5"/>
  <c r="BB22" i="5"/>
  <c r="I22" i="5"/>
  <c r="I198" i="5"/>
  <c r="I199" i="5"/>
  <c r="Y21" i="5"/>
  <c r="AN21" i="5"/>
  <c r="BC21" i="5"/>
  <c r="J21" i="5"/>
  <c r="J197" i="5"/>
  <c r="Y22" i="5"/>
  <c r="AN22" i="5"/>
  <c r="BC22" i="5"/>
  <c r="J22" i="5"/>
  <c r="J198" i="5"/>
  <c r="J199" i="5"/>
  <c r="Z21" i="5"/>
  <c r="AO21" i="5"/>
  <c r="BD21" i="5"/>
  <c r="K21" i="5"/>
  <c r="K197" i="5"/>
  <c r="Z22" i="5"/>
  <c r="AO22" i="5"/>
  <c r="BD22" i="5"/>
  <c r="K22" i="5"/>
  <c r="K198" i="5"/>
  <c r="K199" i="5"/>
  <c r="AA21" i="5"/>
  <c r="AP21" i="5"/>
  <c r="BE21" i="5"/>
  <c r="L21" i="5"/>
  <c r="L197" i="5"/>
  <c r="AA22" i="5"/>
  <c r="AP22" i="5"/>
  <c r="BE22" i="5"/>
  <c r="L22" i="5"/>
  <c r="L198" i="5"/>
  <c r="L199" i="5"/>
  <c r="AB21" i="5"/>
  <c r="AQ21" i="5"/>
  <c r="BF21" i="5"/>
  <c r="M21" i="5"/>
  <c r="M197" i="5"/>
  <c r="AB22" i="5"/>
  <c r="AQ22" i="5"/>
  <c r="BF22" i="5"/>
  <c r="M22" i="5"/>
  <c r="M198" i="5"/>
  <c r="M199" i="5"/>
  <c r="N199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S215" i="5"/>
  <c r="T215" i="5"/>
  <c r="U215" i="5"/>
  <c r="V215" i="5"/>
  <c r="W215" i="5"/>
  <c r="X215" i="5"/>
  <c r="Y215" i="5"/>
  <c r="Z215" i="5"/>
  <c r="AA215" i="5"/>
  <c r="AB215" i="5"/>
  <c r="AC215" i="5"/>
  <c r="B215" i="5"/>
  <c r="B216" i="5"/>
  <c r="B220" i="5"/>
  <c r="B22" i="3"/>
  <c r="B39" i="2"/>
  <c r="C39" i="2"/>
  <c r="D39" i="2"/>
  <c r="E39" i="2"/>
  <c r="F39" i="2"/>
  <c r="G39" i="2"/>
  <c r="H39" i="2"/>
  <c r="I39" i="2"/>
  <c r="J39" i="2"/>
  <c r="K39" i="2"/>
  <c r="L39" i="2"/>
  <c r="M39" i="2"/>
  <c r="C38" i="2"/>
  <c r="D38" i="2"/>
  <c r="E38" i="2"/>
  <c r="F38" i="2"/>
  <c r="G38" i="2"/>
  <c r="H38" i="2"/>
  <c r="I38" i="2"/>
  <c r="J38" i="2"/>
  <c r="K38" i="2"/>
  <c r="L38" i="2"/>
  <c r="M38" i="2"/>
  <c r="B38" i="2"/>
  <c r="C103" i="2"/>
  <c r="D103" i="2"/>
  <c r="E103" i="2"/>
  <c r="E36" i="2"/>
  <c r="S78" i="5"/>
  <c r="E191" i="3"/>
  <c r="F103" i="2"/>
  <c r="F36" i="2"/>
  <c r="G103" i="2"/>
  <c r="H103" i="2"/>
  <c r="I103" i="2"/>
  <c r="I36" i="2"/>
  <c r="W78" i="5"/>
  <c r="I191" i="3"/>
  <c r="J103" i="2"/>
  <c r="J36" i="2"/>
  <c r="X78" i="5"/>
  <c r="J191" i="3"/>
  <c r="K103" i="2"/>
  <c r="L103" i="2"/>
  <c r="M103" i="2"/>
  <c r="M36" i="2"/>
  <c r="B103" i="2"/>
  <c r="B36" i="2"/>
  <c r="P78" i="5"/>
  <c r="B191" i="3"/>
  <c r="C21" i="2"/>
  <c r="C76" i="5"/>
  <c r="D21" i="2"/>
  <c r="E21" i="2"/>
  <c r="F21" i="2"/>
  <c r="G21" i="2"/>
  <c r="G76" i="5"/>
  <c r="H21" i="2"/>
  <c r="I21" i="2"/>
  <c r="I19" i="2"/>
  <c r="I74" i="5"/>
  <c r="I150" i="3"/>
  <c r="J21" i="2"/>
  <c r="K21" i="2"/>
  <c r="K76" i="5"/>
  <c r="L21" i="2"/>
  <c r="L20" i="2"/>
  <c r="L75" i="5"/>
  <c r="L151" i="3"/>
  <c r="M21" i="2"/>
  <c r="M19" i="2"/>
  <c r="M74" i="5"/>
  <c r="M150" i="3"/>
  <c r="F76" i="5"/>
  <c r="J80" i="5"/>
  <c r="J156" i="3"/>
  <c r="B21" i="2"/>
  <c r="B19" i="2"/>
  <c r="B74" i="5"/>
  <c r="B150" i="3"/>
  <c r="B80" i="5"/>
  <c r="B156" i="3"/>
  <c r="B102" i="3"/>
  <c r="F102" i="3"/>
  <c r="H102" i="3"/>
  <c r="I102" i="3"/>
  <c r="K102" i="3"/>
  <c r="M102" i="3"/>
  <c r="A5" i="5"/>
  <c r="A6" i="5"/>
  <c r="A5" i="4"/>
  <c r="A6" i="4"/>
  <c r="A3" i="4"/>
  <c r="A5" i="2"/>
  <c r="A6" i="2"/>
  <c r="A3" i="3"/>
  <c r="A5" i="3"/>
  <c r="A6" i="3"/>
  <c r="C36" i="2"/>
  <c r="Q75" i="5"/>
  <c r="C188" i="3"/>
  <c r="R73" i="5"/>
  <c r="D186" i="3"/>
  <c r="D36" i="2"/>
  <c r="T74" i="5"/>
  <c r="F187" i="3"/>
  <c r="G36" i="2"/>
  <c r="U75" i="5"/>
  <c r="G188" i="3"/>
  <c r="H36" i="2"/>
  <c r="V74" i="5"/>
  <c r="H187" i="3"/>
  <c r="W80" i="5"/>
  <c r="I193" i="3"/>
  <c r="Y72" i="5"/>
  <c r="K185" i="3"/>
  <c r="K36" i="2"/>
  <c r="Y75" i="5"/>
  <c r="K188" i="3"/>
  <c r="Z72" i="5"/>
  <c r="L185" i="3"/>
  <c r="L36" i="2"/>
  <c r="Z74" i="5"/>
  <c r="L187" i="3"/>
  <c r="Z76" i="5"/>
  <c r="P71" i="5"/>
  <c r="B184" i="3"/>
  <c r="B16" i="2"/>
  <c r="Q64" i="5"/>
  <c r="R64" i="5"/>
  <c r="S64" i="5"/>
  <c r="T64" i="5"/>
  <c r="U64" i="5"/>
  <c r="V64" i="5"/>
  <c r="W64" i="5"/>
  <c r="X64" i="5"/>
  <c r="Y64" i="5"/>
  <c r="Z64" i="5"/>
  <c r="AA64" i="5"/>
  <c r="P64" i="5"/>
  <c r="C18" i="2"/>
  <c r="C73" i="5"/>
  <c r="C149" i="3"/>
  <c r="C22" i="2"/>
  <c r="C77" i="5"/>
  <c r="C153" i="3"/>
  <c r="E18" i="2"/>
  <c r="E73" i="5"/>
  <c r="E149" i="3"/>
  <c r="E22" i="2"/>
  <c r="E77" i="5"/>
  <c r="E153" i="3"/>
  <c r="G18" i="2"/>
  <c r="G73" i="5"/>
  <c r="G149" i="3"/>
  <c r="G22" i="2"/>
  <c r="G77" i="5"/>
  <c r="G153" i="3"/>
  <c r="I18" i="2"/>
  <c r="I73" i="5"/>
  <c r="I149" i="3"/>
  <c r="I22" i="2"/>
  <c r="I77" i="5"/>
  <c r="I153" i="3"/>
  <c r="K18" i="2"/>
  <c r="K73" i="5"/>
  <c r="K149" i="3"/>
  <c r="K22" i="2"/>
  <c r="K77" i="5"/>
  <c r="K153" i="3"/>
  <c r="M18" i="2"/>
  <c r="M73" i="5"/>
  <c r="M149" i="3"/>
  <c r="M22" i="2"/>
  <c r="M77" i="5"/>
  <c r="M153" i="3"/>
  <c r="Q77" i="5"/>
  <c r="C190" i="3"/>
  <c r="R77" i="5"/>
  <c r="D190" i="3"/>
  <c r="S77" i="5"/>
  <c r="E190" i="3"/>
  <c r="T77" i="5"/>
  <c r="F190" i="3"/>
  <c r="U77" i="5"/>
  <c r="G190" i="3"/>
  <c r="V77" i="5"/>
  <c r="H190" i="3"/>
  <c r="W77" i="5"/>
  <c r="I190" i="3"/>
  <c r="X77" i="5"/>
  <c r="J190" i="3"/>
  <c r="Y77" i="5"/>
  <c r="K190" i="3"/>
  <c r="Z77" i="5"/>
  <c r="L190" i="3"/>
  <c r="AA77" i="5"/>
  <c r="M190" i="3"/>
  <c r="P77" i="5"/>
  <c r="B190" i="3"/>
  <c r="P72" i="5"/>
  <c r="B185" i="3"/>
  <c r="Q72" i="5"/>
  <c r="C185" i="3"/>
  <c r="R72" i="5"/>
  <c r="D185" i="3"/>
  <c r="S72" i="5"/>
  <c r="E185" i="3"/>
  <c r="T72" i="5"/>
  <c r="F185" i="3"/>
  <c r="U72" i="5"/>
  <c r="G185" i="3"/>
  <c r="V72" i="5"/>
  <c r="H185" i="3"/>
  <c r="W72" i="5"/>
  <c r="I185" i="3"/>
  <c r="X72" i="5"/>
  <c r="J185" i="3"/>
  <c r="AA72" i="5"/>
  <c r="M185" i="3"/>
  <c r="P73" i="5"/>
  <c r="B186" i="3"/>
  <c r="Q73" i="5"/>
  <c r="C186" i="3"/>
  <c r="S73" i="5"/>
  <c r="E186" i="3"/>
  <c r="T73" i="5"/>
  <c r="F186" i="3"/>
  <c r="U73" i="5"/>
  <c r="G186" i="3"/>
  <c r="V73" i="5"/>
  <c r="H186" i="3"/>
  <c r="W73" i="5"/>
  <c r="I186" i="3"/>
  <c r="X73" i="5"/>
  <c r="J186" i="3"/>
  <c r="Y73" i="5"/>
  <c r="K186" i="3"/>
  <c r="Z73" i="5"/>
  <c r="L186" i="3"/>
  <c r="AA73" i="5"/>
  <c r="M186" i="3"/>
  <c r="Q71" i="5"/>
  <c r="C184" i="3"/>
  <c r="R71" i="5"/>
  <c r="D184" i="3"/>
  <c r="S71" i="5"/>
  <c r="E184" i="3"/>
  <c r="T71" i="5"/>
  <c r="F184" i="3"/>
  <c r="U71" i="5"/>
  <c r="G184" i="3"/>
  <c r="V71" i="5"/>
  <c r="H184" i="3"/>
  <c r="W71" i="5"/>
  <c r="I184" i="3"/>
  <c r="X71" i="5"/>
  <c r="J184" i="3"/>
  <c r="Y71" i="5"/>
  <c r="K184" i="3"/>
  <c r="Z71" i="5"/>
  <c r="L184" i="3"/>
  <c r="AA71" i="5"/>
  <c r="M184" i="3"/>
  <c r="Q65" i="5"/>
  <c r="R65" i="5"/>
  <c r="S65" i="5"/>
  <c r="T65" i="5"/>
  <c r="U65" i="5"/>
  <c r="V65" i="5"/>
  <c r="W65" i="5"/>
  <c r="X65" i="5"/>
  <c r="Y65" i="5"/>
  <c r="Z65" i="5"/>
  <c r="AA65" i="5"/>
  <c r="Q66" i="5"/>
  <c r="R66" i="5"/>
  <c r="S66" i="5"/>
  <c r="T66" i="5"/>
  <c r="U66" i="5"/>
  <c r="V66" i="5"/>
  <c r="W66" i="5"/>
  <c r="X66" i="5"/>
  <c r="Y66" i="5"/>
  <c r="Z66" i="5"/>
  <c r="AA66" i="5"/>
  <c r="Q67" i="5"/>
  <c r="R67" i="5"/>
  <c r="S67" i="5"/>
  <c r="T67" i="5"/>
  <c r="U67" i="5"/>
  <c r="V67" i="5"/>
  <c r="W67" i="5"/>
  <c r="X67" i="5"/>
  <c r="Y67" i="5"/>
  <c r="Z67" i="5"/>
  <c r="AA67" i="5"/>
  <c r="P66" i="5"/>
  <c r="P67" i="5"/>
  <c r="P65" i="5"/>
  <c r="Q61" i="5"/>
  <c r="R61" i="5"/>
  <c r="S61" i="5"/>
  <c r="T61" i="5"/>
  <c r="U61" i="5"/>
  <c r="V61" i="5"/>
  <c r="W61" i="5"/>
  <c r="X61" i="5"/>
  <c r="Y61" i="5"/>
  <c r="Z61" i="5"/>
  <c r="AA61" i="5"/>
  <c r="Q62" i="5"/>
  <c r="R62" i="5"/>
  <c r="S62" i="5"/>
  <c r="T62" i="5"/>
  <c r="U62" i="5"/>
  <c r="V62" i="5"/>
  <c r="W62" i="5"/>
  <c r="X62" i="5"/>
  <c r="Y62" i="5"/>
  <c r="Z62" i="5"/>
  <c r="AA62" i="5"/>
  <c r="P62" i="5"/>
  <c r="P61" i="5"/>
  <c r="Q58" i="5"/>
  <c r="R58" i="5"/>
  <c r="S58" i="5"/>
  <c r="T58" i="5"/>
  <c r="U58" i="5"/>
  <c r="V58" i="5"/>
  <c r="W58" i="5"/>
  <c r="X58" i="5"/>
  <c r="Y58" i="5"/>
  <c r="Z58" i="5"/>
  <c r="AA58" i="5"/>
  <c r="Q59" i="5"/>
  <c r="R59" i="5"/>
  <c r="S59" i="5"/>
  <c r="T59" i="5"/>
  <c r="U59" i="5"/>
  <c r="V59" i="5"/>
  <c r="W59" i="5"/>
  <c r="X59" i="5"/>
  <c r="Y59" i="5"/>
  <c r="Z59" i="5"/>
  <c r="AA59" i="5"/>
  <c r="Q60" i="5"/>
  <c r="R60" i="5"/>
  <c r="S60" i="5"/>
  <c r="T60" i="5"/>
  <c r="U60" i="5"/>
  <c r="V60" i="5"/>
  <c r="W60" i="5"/>
  <c r="X60" i="5"/>
  <c r="Y60" i="5"/>
  <c r="Z60" i="5"/>
  <c r="AA60" i="5"/>
  <c r="P59" i="5"/>
  <c r="P60" i="5"/>
  <c r="P58" i="5"/>
  <c r="G24" i="2"/>
  <c r="G66" i="5"/>
  <c r="M24" i="2"/>
  <c r="M66" i="5"/>
  <c r="C67" i="5"/>
  <c r="D67" i="5"/>
  <c r="E67" i="5"/>
  <c r="F67" i="5"/>
  <c r="G67" i="5"/>
  <c r="H67" i="5"/>
  <c r="I67" i="5"/>
  <c r="J67" i="5"/>
  <c r="K67" i="5"/>
  <c r="L67" i="5"/>
  <c r="M67" i="5"/>
  <c r="B67" i="5"/>
  <c r="I61" i="5"/>
  <c r="J19" i="2"/>
  <c r="J61" i="5"/>
  <c r="F20" i="2"/>
  <c r="F62" i="5"/>
  <c r="B20" i="2"/>
  <c r="B62" i="5"/>
  <c r="B61" i="5"/>
  <c r="H22" i="2"/>
  <c r="H64" i="5"/>
  <c r="J63" i="5"/>
  <c r="B63" i="5"/>
  <c r="H17" i="2"/>
  <c r="H59" i="5"/>
  <c r="D18" i="2"/>
  <c r="D60" i="5"/>
  <c r="E60" i="5"/>
  <c r="L18" i="2"/>
  <c r="L60" i="5"/>
  <c r="I16" i="2"/>
  <c r="I58" i="5"/>
  <c r="J16" i="2"/>
  <c r="J58" i="5"/>
  <c r="Q52" i="5"/>
  <c r="R52" i="5"/>
  <c r="S52" i="5"/>
  <c r="T52" i="5"/>
  <c r="U52" i="5"/>
  <c r="V52" i="5"/>
  <c r="W52" i="5"/>
  <c r="X52" i="5"/>
  <c r="Y52" i="5"/>
  <c r="Z52" i="5"/>
  <c r="AA52" i="5"/>
  <c r="Q53" i="5"/>
  <c r="R53" i="5"/>
  <c r="S53" i="5"/>
  <c r="T53" i="5"/>
  <c r="U53" i="5"/>
  <c r="V53" i="5"/>
  <c r="W53" i="5"/>
  <c r="X53" i="5"/>
  <c r="Y53" i="5"/>
  <c r="Z53" i="5"/>
  <c r="AA53" i="5"/>
  <c r="Q54" i="5"/>
  <c r="R54" i="5"/>
  <c r="S54" i="5"/>
  <c r="T54" i="5"/>
  <c r="U54" i="5"/>
  <c r="V54" i="5"/>
  <c r="W54" i="5"/>
  <c r="X54" i="5"/>
  <c r="Y54" i="5"/>
  <c r="Z54" i="5"/>
  <c r="AA54" i="5"/>
  <c r="P53" i="5"/>
  <c r="P54" i="5"/>
  <c r="P52" i="5"/>
  <c r="W50" i="5"/>
  <c r="Q51" i="5"/>
  <c r="R51" i="5"/>
  <c r="S51" i="5"/>
  <c r="T51" i="5"/>
  <c r="U51" i="5"/>
  <c r="V51" i="5"/>
  <c r="W51" i="5"/>
  <c r="X51" i="5"/>
  <c r="Y51" i="5"/>
  <c r="Z51" i="5"/>
  <c r="AA51" i="5"/>
  <c r="P51" i="5"/>
  <c r="Q48" i="5"/>
  <c r="R48" i="5"/>
  <c r="S48" i="5"/>
  <c r="T48" i="5"/>
  <c r="U48" i="5"/>
  <c r="V48" i="5"/>
  <c r="W48" i="5"/>
  <c r="X48" i="5"/>
  <c r="Y48" i="5"/>
  <c r="Z48" i="5"/>
  <c r="AA48" i="5"/>
  <c r="Q49" i="5"/>
  <c r="R49" i="5"/>
  <c r="S49" i="5"/>
  <c r="T49" i="5"/>
  <c r="U49" i="5"/>
  <c r="V49" i="5"/>
  <c r="W49" i="5"/>
  <c r="X49" i="5"/>
  <c r="Y49" i="5"/>
  <c r="Z49" i="5"/>
  <c r="AA49" i="5"/>
  <c r="P49" i="5"/>
  <c r="P48" i="5"/>
  <c r="Q45" i="5"/>
  <c r="R45" i="5"/>
  <c r="S45" i="5"/>
  <c r="T45" i="5"/>
  <c r="U45" i="5"/>
  <c r="V45" i="5"/>
  <c r="W45" i="5"/>
  <c r="X45" i="5"/>
  <c r="Y45" i="5"/>
  <c r="Z45" i="5"/>
  <c r="AA45" i="5"/>
  <c r="Q46" i="5"/>
  <c r="R46" i="5"/>
  <c r="S46" i="5"/>
  <c r="T46" i="5"/>
  <c r="U46" i="5"/>
  <c r="V46" i="5"/>
  <c r="W46" i="5"/>
  <c r="X46" i="5"/>
  <c r="Y46" i="5"/>
  <c r="Z46" i="5"/>
  <c r="AA46" i="5"/>
  <c r="Q47" i="5"/>
  <c r="R47" i="5"/>
  <c r="S47" i="5"/>
  <c r="T47" i="5"/>
  <c r="U47" i="5"/>
  <c r="V47" i="5"/>
  <c r="W47" i="5"/>
  <c r="X47" i="5"/>
  <c r="Y47" i="5"/>
  <c r="Z47" i="5"/>
  <c r="AA47" i="5"/>
  <c r="P46" i="5"/>
  <c r="P47" i="5"/>
  <c r="P45" i="5"/>
  <c r="E24" i="2"/>
  <c r="E53" i="5"/>
  <c r="M53" i="5"/>
  <c r="C54" i="5"/>
  <c r="D54" i="5"/>
  <c r="E54" i="5"/>
  <c r="F54" i="5"/>
  <c r="G54" i="5"/>
  <c r="H54" i="5"/>
  <c r="I54" i="5"/>
  <c r="J54" i="5"/>
  <c r="K54" i="5"/>
  <c r="L54" i="5"/>
  <c r="M54" i="5"/>
  <c r="B54" i="5"/>
  <c r="F19" i="2"/>
  <c r="F48" i="5"/>
  <c r="H19" i="2"/>
  <c r="H48" i="5"/>
  <c r="L19" i="2"/>
  <c r="L48" i="5"/>
  <c r="M48" i="5"/>
  <c r="F49" i="5"/>
  <c r="M20" i="2"/>
  <c r="M49" i="5"/>
  <c r="F50" i="5"/>
  <c r="F22" i="2"/>
  <c r="F51" i="5"/>
  <c r="G51" i="5"/>
  <c r="K51" i="5"/>
  <c r="B50" i="5"/>
  <c r="B17" i="2"/>
  <c r="B46" i="5"/>
  <c r="D17" i="2"/>
  <c r="D46" i="5"/>
  <c r="G17" i="2"/>
  <c r="G46" i="5"/>
  <c r="K17" i="2"/>
  <c r="K46" i="5"/>
  <c r="L17" i="2"/>
  <c r="L46" i="5"/>
  <c r="C47" i="5"/>
  <c r="D47" i="5"/>
  <c r="G47" i="5"/>
  <c r="H18" i="2"/>
  <c r="H47" i="5"/>
  <c r="K47" i="5"/>
  <c r="L47" i="5"/>
  <c r="D16" i="2"/>
  <c r="D45" i="5"/>
  <c r="E16" i="2"/>
  <c r="E45" i="5"/>
  <c r="I45" i="5"/>
  <c r="L16" i="2"/>
  <c r="L45" i="5"/>
  <c r="M16" i="2"/>
  <c r="M45" i="5"/>
  <c r="A67" i="5"/>
  <c r="O67" i="5"/>
  <c r="A66" i="5"/>
  <c r="O66" i="5"/>
  <c r="A65" i="5"/>
  <c r="O65" i="5"/>
  <c r="A64" i="5"/>
  <c r="O64" i="5"/>
  <c r="A63" i="5"/>
  <c r="O63" i="5"/>
  <c r="A62" i="5"/>
  <c r="O62" i="5"/>
  <c r="A61" i="5"/>
  <c r="O61" i="5"/>
  <c r="A60" i="5"/>
  <c r="O60" i="5"/>
  <c r="A59" i="5"/>
  <c r="O59" i="5"/>
  <c r="A58" i="5"/>
  <c r="O58" i="5"/>
  <c r="A46" i="5"/>
  <c r="O46" i="5"/>
  <c r="A47" i="5"/>
  <c r="O47" i="5"/>
  <c r="A48" i="5"/>
  <c r="O48" i="5"/>
  <c r="A49" i="5"/>
  <c r="O49" i="5"/>
  <c r="A50" i="5"/>
  <c r="O50" i="5"/>
  <c r="A51" i="5"/>
  <c r="O51" i="5"/>
  <c r="A52" i="5"/>
  <c r="O52" i="5"/>
  <c r="A53" i="5"/>
  <c r="O53" i="5"/>
  <c r="A54" i="5"/>
  <c r="O54" i="5"/>
  <c r="A45" i="5"/>
  <c r="O45" i="5"/>
  <c r="A93" i="3"/>
  <c r="P110" i="3"/>
  <c r="P123" i="3"/>
  <c r="A108" i="3"/>
  <c r="A135" i="3"/>
  <c r="P136" i="3"/>
  <c r="A94" i="3"/>
  <c r="P111" i="3"/>
  <c r="P124" i="3"/>
  <c r="A109" i="3"/>
  <c r="A136" i="3"/>
  <c r="P137" i="3"/>
  <c r="A95" i="3"/>
  <c r="P112" i="3"/>
  <c r="P125" i="3"/>
  <c r="A110" i="3"/>
  <c r="A137" i="3"/>
  <c r="P138" i="3"/>
  <c r="A96" i="3"/>
  <c r="P113" i="3"/>
  <c r="P126" i="3"/>
  <c r="A111" i="3"/>
  <c r="A138" i="3"/>
  <c r="P139" i="3"/>
  <c r="A97" i="3"/>
  <c r="P114" i="3"/>
  <c r="P127" i="3"/>
  <c r="A112" i="3"/>
  <c r="A139" i="3"/>
  <c r="P140" i="3"/>
  <c r="A98" i="3"/>
  <c r="P115" i="3"/>
  <c r="P128" i="3"/>
  <c r="A113" i="3"/>
  <c r="A140" i="3"/>
  <c r="P141" i="3"/>
  <c r="A99" i="3"/>
  <c r="P116" i="3"/>
  <c r="P129" i="3"/>
  <c r="A114" i="3"/>
  <c r="A141" i="3"/>
  <c r="P142" i="3"/>
  <c r="A100" i="3"/>
  <c r="P117" i="3"/>
  <c r="P130" i="3"/>
  <c r="A115" i="3"/>
  <c r="A142" i="3"/>
  <c r="P143" i="3"/>
  <c r="A101" i="3"/>
  <c r="P118" i="3"/>
  <c r="P131" i="3"/>
  <c r="A116" i="3"/>
  <c r="A143" i="3"/>
  <c r="P144" i="3"/>
  <c r="P157" i="3"/>
  <c r="A169" i="3"/>
  <c r="A193" i="3"/>
  <c r="P171" i="3"/>
  <c r="P184" i="3"/>
  <c r="A207" i="3"/>
  <c r="A92" i="3"/>
  <c r="P109" i="3"/>
  <c r="P122" i="3"/>
  <c r="A107" i="3"/>
  <c r="A134" i="3"/>
  <c r="P135" i="3"/>
  <c r="B134" i="3"/>
  <c r="C16" i="2"/>
  <c r="C134" i="3"/>
  <c r="C140" i="3"/>
  <c r="C143" i="3"/>
  <c r="D134" i="3"/>
  <c r="D19" i="2"/>
  <c r="D137" i="3"/>
  <c r="D20" i="2"/>
  <c r="D138" i="3"/>
  <c r="D143" i="3"/>
  <c r="E136" i="3"/>
  <c r="E20" i="2"/>
  <c r="E138" i="3"/>
  <c r="E142" i="3"/>
  <c r="E143" i="3"/>
  <c r="F17" i="2"/>
  <c r="F135" i="3"/>
  <c r="F18" i="2"/>
  <c r="F136" i="3"/>
  <c r="F138" i="3"/>
  <c r="F143" i="3"/>
  <c r="G136" i="3"/>
  <c r="G140" i="3"/>
  <c r="G143" i="3"/>
  <c r="H137" i="3"/>
  <c r="H143" i="3"/>
  <c r="I134" i="3"/>
  <c r="I137" i="3"/>
  <c r="I20" i="2"/>
  <c r="I138" i="3"/>
  <c r="I143" i="3"/>
  <c r="J17" i="2"/>
  <c r="J135" i="3"/>
  <c r="J18" i="2"/>
  <c r="J136" i="3"/>
  <c r="J139" i="3"/>
  <c r="J20" i="2"/>
  <c r="J138" i="3"/>
  <c r="J143" i="3"/>
  <c r="K135" i="3"/>
  <c r="K136" i="3"/>
  <c r="K20" i="2"/>
  <c r="K138" i="3"/>
  <c r="K24" i="2"/>
  <c r="K142" i="3"/>
  <c r="K143" i="3"/>
  <c r="L136" i="3"/>
  <c r="L138" i="3"/>
  <c r="L143" i="3"/>
  <c r="M143" i="3"/>
  <c r="B135" i="3"/>
  <c r="B139" i="3"/>
  <c r="B137" i="3"/>
  <c r="B143" i="3"/>
  <c r="E71" i="5"/>
  <c r="E147" i="3"/>
  <c r="F16" i="2"/>
  <c r="F71" i="5"/>
  <c r="F147" i="3"/>
  <c r="G16" i="2"/>
  <c r="H16" i="2"/>
  <c r="I71" i="5"/>
  <c r="I147" i="3"/>
  <c r="J71" i="5"/>
  <c r="J147" i="3"/>
  <c r="K16" i="2"/>
  <c r="M71" i="5"/>
  <c r="M147" i="3"/>
  <c r="C17" i="2"/>
  <c r="E17" i="2"/>
  <c r="F46" i="5"/>
  <c r="H46" i="5"/>
  <c r="I17" i="2"/>
  <c r="J46" i="5"/>
  <c r="M17" i="2"/>
  <c r="C60" i="5"/>
  <c r="D73" i="5"/>
  <c r="D149" i="3"/>
  <c r="E47" i="5"/>
  <c r="G60" i="5"/>
  <c r="H73" i="5"/>
  <c r="H149" i="3"/>
  <c r="K60" i="5"/>
  <c r="L73" i="5"/>
  <c r="L149" i="3"/>
  <c r="M47" i="5"/>
  <c r="C19" i="2"/>
  <c r="D61" i="5"/>
  <c r="E19" i="2"/>
  <c r="E61" i="5"/>
  <c r="G19" i="2"/>
  <c r="I48" i="5"/>
  <c r="K19" i="2"/>
  <c r="L61" i="5"/>
  <c r="M61" i="5"/>
  <c r="C20" i="2"/>
  <c r="E62" i="5"/>
  <c r="G20" i="2"/>
  <c r="G138" i="3"/>
  <c r="H20" i="2"/>
  <c r="I62" i="5"/>
  <c r="J62" i="5"/>
  <c r="K62" i="5"/>
  <c r="M62" i="5"/>
  <c r="C64" i="5"/>
  <c r="D22" i="2"/>
  <c r="F64" i="5"/>
  <c r="G64" i="5"/>
  <c r="H140" i="3"/>
  <c r="J22" i="2"/>
  <c r="J64" i="5"/>
  <c r="K64" i="5"/>
  <c r="L22" i="2"/>
  <c r="C23" i="2"/>
  <c r="C78" i="5"/>
  <c r="C154" i="3"/>
  <c r="D23" i="2"/>
  <c r="D65" i="5"/>
  <c r="E23" i="2"/>
  <c r="E78" i="5"/>
  <c r="E154" i="3"/>
  <c r="F23" i="2"/>
  <c r="F65" i="5"/>
  <c r="G23" i="2"/>
  <c r="G65" i="5"/>
  <c r="H23" i="2"/>
  <c r="H141" i="3"/>
  <c r="I23" i="2"/>
  <c r="I65" i="5"/>
  <c r="J23" i="2"/>
  <c r="K23" i="2"/>
  <c r="K65" i="5"/>
  <c r="L23" i="2"/>
  <c r="M23" i="2"/>
  <c r="C24" i="2"/>
  <c r="C66" i="5"/>
  <c r="D24" i="2"/>
  <c r="D79" i="5"/>
  <c r="D155" i="3"/>
  <c r="E66" i="5"/>
  <c r="F24" i="2"/>
  <c r="F66" i="5"/>
  <c r="G142" i="3"/>
  <c r="H24" i="2"/>
  <c r="H53" i="5"/>
  <c r="I24" i="2"/>
  <c r="J24" i="2"/>
  <c r="J66" i="5"/>
  <c r="K66" i="5"/>
  <c r="L24" i="2"/>
  <c r="B18" i="2"/>
  <c r="B48" i="5"/>
  <c r="B49" i="5"/>
  <c r="B22" i="2"/>
  <c r="B140" i="3"/>
  <c r="B23" i="2"/>
  <c r="B24" i="2"/>
  <c r="B53" i="5"/>
  <c r="C67" i="1"/>
  <c r="A70" i="5"/>
  <c r="B70" i="5"/>
  <c r="C70" i="5"/>
  <c r="D70" i="5"/>
  <c r="E70" i="5"/>
  <c r="F70" i="5"/>
  <c r="G70" i="5"/>
  <c r="H70" i="5"/>
  <c r="I70" i="5"/>
  <c r="J70" i="5"/>
  <c r="K70" i="5"/>
  <c r="L70" i="5"/>
  <c r="M70" i="5"/>
  <c r="O71" i="5"/>
  <c r="A71" i="5"/>
  <c r="O72" i="5"/>
  <c r="A72" i="5"/>
  <c r="O73" i="5"/>
  <c r="A73" i="5"/>
  <c r="O74" i="5"/>
  <c r="A74" i="5"/>
  <c r="O75" i="5"/>
  <c r="A75" i="5"/>
  <c r="O76" i="5"/>
  <c r="A76" i="5"/>
  <c r="O77" i="5"/>
  <c r="A77" i="5"/>
  <c r="O80" i="5"/>
  <c r="A80" i="5"/>
  <c r="A62" i="2"/>
  <c r="A63" i="2"/>
  <c r="A64" i="2"/>
  <c r="A65" i="2"/>
  <c r="A66" i="2"/>
  <c r="A67" i="2"/>
  <c r="A68" i="2"/>
  <c r="A71" i="2"/>
  <c r="O78" i="5"/>
  <c r="A78" i="5"/>
  <c r="O79" i="5"/>
  <c r="A79" i="5"/>
  <c r="O88" i="5"/>
  <c r="O89" i="5"/>
  <c r="O90" i="5"/>
  <c r="O91" i="5"/>
  <c r="O92" i="5"/>
  <c r="O93" i="5"/>
  <c r="O94" i="5"/>
  <c r="O95" i="5"/>
  <c r="O96" i="5"/>
  <c r="O87" i="5"/>
  <c r="A115" i="5"/>
  <c r="A116" i="5"/>
  <c r="A117" i="5"/>
  <c r="A118" i="5"/>
  <c r="A119" i="5"/>
  <c r="A120" i="5"/>
  <c r="A121" i="5"/>
  <c r="A122" i="5"/>
  <c r="A123" i="5"/>
  <c r="A114" i="5"/>
  <c r="A102" i="5"/>
  <c r="A103" i="5"/>
  <c r="A104" i="5"/>
  <c r="A105" i="5"/>
  <c r="A106" i="5"/>
  <c r="A107" i="5"/>
  <c r="A108" i="5"/>
  <c r="A109" i="5"/>
  <c r="A110" i="5"/>
  <c r="A101" i="5"/>
  <c r="A88" i="5"/>
  <c r="A89" i="5"/>
  <c r="A90" i="5"/>
  <c r="A91" i="5"/>
  <c r="A92" i="5"/>
  <c r="A93" i="5"/>
  <c r="A94" i="5"/>
  <c r="A95" i="5"/>
  <c r="A96" i="5"/>
  <c r="A87" i="5"/>
  <c r="A78" i="2"/>
  <c r="A79" i="2"/>
  <c r="A80" i="2"/>
  <c r="A81" i="2"/>
  <c r="A82" i="2"/>
  <c r="A83" i="2"/>
  <c r="A84" i="2"/>
  <c r="A85" i="2"/>
  <c r="A86" i="2"/>
  <c r="A77" i="2"/>
  <c r="A69" i="2"/>
  <c r="A70" i="2"/>
  <c r="A48" i="2"/>
  <c r="A49" i="2"/>
  <c r="A50" i="2"/>
  <c r="A51" i="2"/>
  <c r="A52" i="2"/>
  <c r="A53" i="2"/>
  <c r="A54" i="2"/>
  <c r="A55" i="2"/>
  <c r="A56" i="2"/>
  <c r="A47" i="2"/>
  <c r="A32" i="2"/>
  <c r="A33" i="2"/>
  <c r="A34" i="2"/>
  <c r="A35" i="2"/>
  <c r="A36" i="2"/>
  <c r="A37" i="2"/>
  <c r="A38" i="2"/>
  <c r="A39" i="2"/>
  <c r="A40" i="2"/>
  <c r="A31" i="2"/>
  <c r="A17" i="2"/>
  <c r="A18" i="2"/>
  <c r="A19" i="2"/>
  <c r="A20" i="2"/>
  <c r="A21" i="2"/>
  <c r="A22" i="2"/>
  <c r="A23" i="2"/>
  <c r="A24" i="2"/>
  <c r="A16" i="2"/>
  <c r="B33" i="3"/>
  <c r="B128" i="3"/>
  <c r="B178" i="3"/>
  <c r="D208" i="5"/>
  <c r="N87" i="4"/>
  <c r="N86" i="4"/>
  <c r="N85" i="4"/>
  <c r="Q104" i="4"/>
  <c r="B104" i="4"/>
  <c r="AB41" i="4"/>
  <c r="AA41" i="4"/>
  <c r="Z41" i="4"/>
  <c r="Y41" i="4"/>
  <c r="X41" i="4"/>
  <c r="W41" i="4"/>
  <c r="V41" i="4"/>
  <c r="U41" i="4"/>
  <c r="T41" i="4"/>
  <c r="S41" i="4"/>
  <c r="R41" i="4"/>
  <c r="Q41" i="4"/>
  <c r="AC41" i="4"/>
  <c r="C41" i="4"/>
  <c r="B41" i="4"/>
  <c r="D41" i="4"/>
  <c r="E41" i="4"/>
  <c r="F41" i="4"/>
  <c r="G41" i="4"/>
  <c r="H41" i="4"/>
  <c r="I41" i="4"/>
  <c r="J41" i="4"/>
  <c r="K41" i="4"/>
  <c r="L41" i="4"/>
  <c r="M41" i="4"/>
  <c r="N41" i="4"/>
  <c r="N46" i="4"/>
  <c r="N45" i="4"/>
  <c r="N47" i="4"/>
  <c r="AC46" i="4"/>
  <c r="AC45" i="4"/>
  <c r="AB37" i="4"/>
  <c r="AB40" i="4"/>
  <c r="AB42" i="4"/>
  <c r="AA37" i="4"/>
  <c r="AA40" i="4"/>
  <c r="Z37" i="4"/>
  <c r="Z40" i="4"/>
  <c r="Z42" i="4"/>
  <c r="Y37" i="4"/>
  <c r="Y40" i="4"/>
  <c r="Y42" i="4"/>
  <c r="X37" i="4"/>
  <c r="X40" i="4"/>
  <c r="X42" i="4"/>
  <c r="W37" i="4"/>
  <c r="W40" i="4"/>
  <c r="W42" i="4"/>
  <c r="V37" i="4"/>
  <c r="V40" i="4"/>
  <c r="U37" i="4"/>
  <c r="U40" i="4"/>
  <c r="T37" i="4"/>
  <c r="T40" i="4"/>
  <c r="T42" i="4"/>
  <c r="S37" i="4"/>
  <c r="S40" i="4"/>
  <c r="R37" i="4"/>
  <c r="R40" i="4"/>
  <c r="Q37" i="4"/>
  <c r="Q40" i="4"/>
  <c r="Q42" i="4"/>
  <c r="C37" i="4"/>
  <c r="C40" i="4"/>
  <c r="D37" i="4"/>
  <c r="D40" i="4"/>
  <c r="E37" i="4"/>
  <c r="E40" i="4"/>
  <c r="E42" i="4"/>
  <c r="F37" i="4"/>
  <c r="F40" i="4"/>
  <c r="G37" i="4"/>
  <c r="G40" i="4"/>
  <c r="H37" i="4"/>
  <c r="H40" i="4"/>
  <c r="H42" i="4"/>
  <c r="I37" i="4"/>
  <c r="I40" i="4"/>
  <c r="J37" i="4"/>
  <c r="J40" i="4"/>
  <c r="J42" i="4"/>
  <c r="K37" i="4"/>
  <c r="K40" i="4"/>
  <c r="K42" i="4"/>
  <c r="L37" i="4"/>
  <c r="L40" i="4"/>
  <c r="L42" i="4"/>
  <c r="M37" i="4"/>
  <c r="M40" i="4"/>
  <c r="M42" i="4"/>
  <c r="B37" i="4"/>
  <c r="B40" i="4"/>
  <c r="AC36" i="4"/>
  <c r="AC35" i="4"/>
  <c r="AC37" i="4"/>
  <c r="N36" i="4"/>
  <c r="N35" i="4"/>
  <c r="N37" i="4"/>
  <c r="A33" i="4"/>
  <c r="AC86" i="4"/>
  <c r="AC85" i="4"/>
  <c r="R42" i="4"/>
  <c r="V42" i="4"/>
  <c r="P33" i="4"/>
  <c r="S42" i="4"/>
  <c r="AA42" i="4"/>
  <c r="AC47" i="4"/>
  <c r="D42" i="4"/>
  <c r="G42" i="4"/>
  <c r="C42" i="4"/>
  <c r="I42" i="4"/>
  <c r="Q26" i="5"/>
  <c r="AC89" i="4"/>
  <c r="AC88" i="4"/>
  <c r="N89" i="4"/>
  <c r="N88" i="4"/>
  <c r="AC83" i="4"/>
  <c r="AC82" i="4"/>
  <c r="N83" i="4"/>
  <c r="N82" i="4"/>
  <c r="Q97" i="4"/>
  <c r="V69" i="4"/>
  <c r="W69" i="4"/>
  <c r="X69" i="4"/>
  <c r="Y69" i="4"/>
  <c r="U69" i="4"/>
  <c r="R70" i="4"/>
  <c r="Q70" i="4"/>
  <c r="Q78" i="4"/>
  <c r="R78" i="4"/>
  <c r="AG39" i="5"/>
  <c r="S78" i="4"/>
  <c r="T78" i="4"/>
  <c r="U78" i="4"/>
  <c r="AJ39" i="5"/>
  <c r="V78" i="4"/>
  <c r="AK39" i="5"/>
  <c r="W78" i="4"/>
  <c r="X78" i="4"/>
  <c r="Y78" i="4"/>
  <c r="AN39" i="5"/>
  <c r="Z78" i="4"/>
  <c r="AO39" i="5"/>
  <c r="AA78" i="4"/>
  <c r="AB78" i="4"/>
  <c r="Y77" i="4"/>
  <c r="Z77" i="4"/>
  <c r="AA77" i="4"/>
  <c r="AB77" i="4"/>
  <c r="V77" i="4"/>
  <c r="AK38" i="5"/>
  <c r="W77" i="4"/>
  <c r="AL38" i="5"/>
  <c r="X77" i="4"/>
  <c r="AC64" i="4"/>
  <c r="AC59" i="4"/>
  <c r="AR22" i="5"/>
  <c r="AC58" i="4"/>
  <c r="N59" i="4"/>
  <c r="N58" i="4"/>
  <c r="AC21" i="5"/>
  <c r="N64" i="4"/>
  <c r="N65" i="4"/>
  <c r="AC28" i="5"/>
  <c r="AC65" i="4"/>
  <c r="AR28" i="5"/>
  <c r="N84" i="4"/>
  <c r="D101" i="5"/>
  <c r="E101" i="5"/>
  <c r="F101" i="5"/>
  <c r="G101" i="5"/>
  <c r="H101" i="5"/>
  <c r="I101" i="5"/>
  <c r="J101" i="5"/>
  <c r="K101" i="5"/>
  <c r="L101" i="5"/>
  <c r="M101" i="5"/>
  <c r="D102" i="5"/>
  <c r="E102" i="5"/>
  <c r="F102" i="5"/>
  <c r="G102" i="5"/>
  <c r="H102" i="5"/>
  <c r="I102" i="5"/>
  <c r="J102" i="5"/>
  <c r="K102" i="5"/>
  <c r="L102" i="5"/>
  <c r="M102" i="5"/>
  <c r="D103" i="5"/>
  <c r="E103" i="5"/>
  <c r="F103" i="5"/>
  <c r="G103" i="5"/>
  <c r="H103" i="5"/>
  <c r="I103" i="5"/>
  <c r="J103" i="5"/>
  <c r="K103" i="5"/>
  <c r="L103" i="5"/>
  <c r="M103" i="5"/>
  <c r="D104" i="5"/>
  <c r="E104" i="5"/>
  <c r="F104" i="5"/>
  <c r="G104" i="5"/>
  <c r="H104" i="5"/>
  <c r="I104" i="5"/>
  <c r="J104" i="5"/>
  <c r="K104" i="5"/>
  <c r="L104" i="5"/>
  <c r="M104" i="5"/>
  <c r="D105" i="5"/>
  <c r="E105" i="5"/>
  <c r="F105" i="5"/>
  <c r="G105" i="5"/>
  <c r="H105" i="5"/>
  <c r="I105" i="5"/>
  <c r="J105" i="5"/>
  <c r="K105" i="5"/>
  <c r="L105" i="5"/>
  <c r="M105" i="5"/>
  <c r="D106" i="5"/>
  <c r="E106" i="5"/>
  <c r="F106" i="5"/>
  <c r="G106" i="5"/>
  <c r="H106" i="5"/>
  <c r="I106" i="5"/>
  <c r="J106" i="5"/>
  <c r="K106" i="5"/>
  <c r="L106" i="5"/>
  <c r="M106" i="5"/>
  <c r="D107" i="5"/>
  <c r="E107" i="5"/>
  <c r="F107" i="5"/>
  <c r="G107" i="5"/>
  <c r="H107" i="5"/>
  <c r="I107" i="5"/>
  <c r="J107" i="5"/>
  <c r="K107" i="5"/>
  <c r="L107" i="5"/>
  <c r="M107" i="5"/>
  <c r="D108" i="5"/>
  <c r="E108" i="5"/>
  <c r="F108" i="5"/>
  <c r="G108" i="5"/>
  <c r="H108" i="5"/>
  <c r="I108" i="5"/>
  <c r="J108" i="5"/>
  <c r="K108" i="5"/>
  <c r="L108" i="5"/>
  <c r="M108" i="5"/>
  <c r="D109" i="5"/>
  <c r="E109" i="5"/>
  <c r="F109" i="5"/>
  <c r="G109" i="5"/>
  <c r="H109" i="5"/>
  <c r="I109" i="5"/>
  <c r="J109" i="5"/>
  <c r="K109" i="5"/>
  <c r="L109" i="5"/>
  <c r="M109" i="5"/>
  <c r="D110" i="5"/>
  <c r="E110" i="5"/>
  <c r="F110" i="5"/>
  <c r="G110" i="5"/>
  <c r="H110" i="5"/>
  <c r="I110" i="5"/>
  <c r="J110" i="5"/>
  <c r="K110" i="5"/>
  <c r="L110" i="5"/>
  <c r="M110" i="5"/>
  <c r="C101" i="5"/>
  <c r="C102" i="5"/>
  <c r="C103" i="5"/>
  <c r="C104" i="5"/>
  <c r="C105" i="5"/>
  <c r="C106" i="5"/>
  <c r="C107" i="5"/>
  <c r="C108" i="5"/>
  <c r="C109" i="5"/>
  <c r="C110" i="5"/>
  <c r="B102" i="5"/>
  <c r="B103" i="5"/>
  <c r="B104" i="5"/>
  <c r="B105" i="5"/>
  <c r="B106" i="5"/>
  <c r="B107" i="5"/>
  <c r="B108" i="5"/>
  <c r="B109" i="5"/>
  <c r="B110" i="5"/>
  <c r="B101" i="5"/>
  <c r="B202" i="2"/>
  <c r="C202" i="2"/>
  <c r="B200" i="2"/>
  <c r="A202" i="2"/>
  <c r="C175" i="2"/>
  <c r="B175" i="2"/>
  <c r="A175" i="2"/>
  <c r="B173" i="2"/>
  <c r="B130" i="5"/>
  <c r="B146" i="2"/>
  <c r="C148" i="2"/>
  <c r="C139" i="2"/>
  <c r="B148" i="2"/>
  <c r="B139" i="2"/>
  <c r="A148" i="2"/>
  <c r="A139" i="2"/>
  <c r="AC23" i="4"/>
  <c r="S28" i="4"/>
  <c r="T28" i="4"/>
  <c r="Z28" i="4"/>
  <c r="AB28" i="4"/>
  <c r="Q28" i="4"/>
  <c r="R27" i="4"/>
  <c r="Q27" i="4"/>
  <c r="S27" i="4"/>
  <c r="T27" i="4"/>
  <c r="Z27" i="4"/>
  <c r="AA27" i="4"/>
  <c r="AB27" i="4"/>
  <c r="AC27" i="4"/>
  <c r="R18" i="4"/>
  <c r="R28" i="4"/>
  <c r="AA18" i="4"/>
  <c r="AA28" i="4"/>
  <c r="AC28" i="4"/>
  <c r="AC29" i="4"/>
  <c r="R22" i="4"/>
  <c r="R24" i="4"/>
  <c r="S22" i="4"/>
  <c r="S24" i="4"/>
  <c r="T22" i="4"/>
  <c r="T24" i="4"/>
  <c r="Z22" i="4"/>
  <c r="Z24" i="4"/>
  <c r="AA22" i="4"/>
  <c r="AA24" i="4"/>
  <c r="AB22" i="4"/>
  <c r="AB24" i="4"/>
  <c r="G22" i="4"/>
  <c r="G24" i="4"/>
  <c r="B24" i="4"/>
  <c r="C24" i="4"/>
  <c r="D24" i="4"/>
  <c r="E24" i="4"/>
  <c r="F22" i="4"/>
  <c r="F24" i="4"/>
  <c r="H22" i="4"/>
  <c r="H24" i="4"/>
  <c r="I22" i="4"/>
  <c r="I24" i="4"/>
  <c r="J22" i="4"/>
  <c r="J24" i="4"/>
  <c r="K24" i="4"/>
  <c r="L24" i="4"/>
  <c r="M24" i="4"/>
  <c r="N24" i="4"/>
  <c r="Q22" i="4"/>
  <c r="Q24" i="4"/>
  <c r="C28" i="4"/>
  <c r="D28" i="4"/>
  <c r="E28" i="4"/>
  <c r="K28" i="4"/>
  <c r="L28" i="4"/>
  <c r="M28" i="4"/>
  <c r="B28" i="4"/>
  <c r="N28" i="4"/>
  <c r="C27" i="4"/>
  <c r="D27" i="4"/>
  <c r="E27" i="4"/>
  <c r="F27" i="4"/>
  <c r="G27" i="4"/>
  <c r="H27" i="4"/>
  <c r="I27" i="4"/>
  <c r="J27" i="4"/>
  <c r="K27" i="4"/>
  <c r="L27" i="4"/>
  <c r="M27" i="4"/>
  <c r="B27" i="4"/>
  <c r="N27" i="4"/>
  <c r="N29" i="4"/>
  <c r="N23" i="4"/>
  <c r="A96" i="2"/>
  <c r="A103" i="2"/>
  <c r="A94" i="2"/>
  <c r="A101" i="2"/>
  <c r="A95" i="2"/>
  <c r="A3" i="2"/>
  <c r="A3" i="5"/>
  <c r="A2" i="2"/>
  <c r="A2" i="4"/>
  <c r="A2" i="5"/>
  <c r="A2" i="3"/>
  <c r="AB28" i="5"/>
  <c r="AA28" i="5"/>
  <c r="Z28" i="5"/>
  <c r="Y28" i="5"/>
  <c r="X28" i="5"/>
  <c r="W28" i="5"/>
  <c r="V28" i="5"/>
  <c r="U28" i="5"/>
  <c r="T28" i="5"/>
  <c r="S28" i="5"/>
  <c r="R28" i="5"/>
  <c r="Q28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AB26" i="5"/>
  <c r="AA26" i="5"/>
  <c r="Z26" i="5"/>
  <c r="Y26" i="5"/>
  <c r="X26" i="5"/>
  <c r="W26" i="5"/>
  <c r="V26" i="5"/>
  <c r="U26" i="5"/>
  <c r="T26" i="5"/>
  <c r="S26" i="5"/>
  <c r="R26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Q27" i="5"/>
  <c r="BF27" i="5"/>
  <c r="AO27" i="5"/>
  <c r="AN27" i="5"/>
  <c r="AM27" i="5"/>
  <c r="AL27" i="5"/>
  <c r="AK27" i="5"/>
  <c r="AJ27" i="5"/>
  <c r="AI27" i="5"/>
  <c r="AH27" i="5"/>
  <c r="AF27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Q17" i="5"/>
  <c r="AO17" i="5"/>
  <c r="AN17" i="5"/>
  <c r="AM17" i="5"/>
  <c r="AJ17" i="5"/>
  <c r="AI17" i="5"/>
  <c r="AH17" i="5"/>
  <c r="AF17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AC22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R16" i="5"/>
  <c r="S16" i="5"/>
  <c r="T16" i="5"/>
  <c r="U16" i="5"/>
  <c r="V16" i="5"/>
  <c r="W16" i="5"/>
  <c r="BA16" i="5"/>
  <c r="X16" i="5"/>
  <c r="Y16" i="5"/>
  <c r="Z16" i="5"/>
  <c r="AA16" i="5"/>
  <c r="BE16" i="5"/>
  <c r="AB16" i="5"/>
  <c r="R17" i="5"/>
  <c r="S17" i="5"/>
  <c r="T17" i="5"/>
  <c r="U17" i="5"/>
  <c r="V17" i="5"/>
  <c r="W17" i="5"/>
  <c r="X17" i="5"/>
  <c r="Y17" i="5"/>
  <c r="Z17" i="5"/>
  <c r="AA17" i="5"/>
  <c r="AB17" i="5"/>
  <c r="Q17" i="5"/>
  <c r="Q16" i="5"/>
  <c r="AQ39" i="5"/>
  <c r="AE39" i="5"/>
  <c r="AE38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BG39" i="5"/>
  <c r="BG38" i="5"/>
  <c r="AO38" i="5"/>
  <c r="AG38" i="5"/>
  <c r="S39" i="5"/>
  <c r="W39" i="5"/>
  <c r="AA39" i="5"/>
  <c r="T38" i="5"/>
  <c r="X38" i="5"/>
  <c r="AB38" i="5"/>
  <c r="A78" i="4"/>
  <c r="P78" i="4"/>
  <c r="P73" i="4"/>
  <c r="P74" i="4"/>
  <c r="P77" i="4"/>
  <c r="P69" i="4"/>
  <c r="P70" i="4"/>
  <c r="W38" i="5"/>
  <c r="V39" i="5"/>
  <c r="AL39" i="5"/>
  <c r="Z38" i="5"/>
  <c r="V38" i="5"/>
  <c r="R38" i="5"/>
  <c r="Y39" i="5"/>
  <c r="U39" i="5"/>
  <c r="Q39" i="5"/>
  <c r="AI38" i="5"/>
  <c r="AM38" i="5"/>
  <c r="AQ38" i="5"/>
  <c r="AI39" i="5"/>
  <c r="AM39" i="5"/>
  <c r="AA38" i="5"/>
  <c r="S38" i="5"/>
  <c r="Z39" i="5"/>
  <c r="R39" i="5"/>
  <c r="AH38" i="5"/>
  <c r="AP38" i="5"/>
  <c r="AH39" i="5"/>
  <c r="AP39" i="5"/>
  <c r="Q38" i="5"/>
  <c r="Y38" i="5"/>
  <c r="U38" i="5"/>
  <c r="AB39" i="5"/>
  <c r="X39" i="5"/>
  <c r="T39" i="5"/>
  <c r="AF38" i="5"/>
  <c r="AJ38" i="5"/>
  <c r="AN38" i="5"/>
  <c r="AF39" i="5"/>
  <c r="A129" i="3"/>
  <c r="A179" i="3"/>
  <c r="A128" i="3"/>
  <c r="A178" i="3"/>
  <c r="B34" i="3"/>
  <c r="B129" i="3"/>
  <c r="B179" i="3"/>
  <c r="X15" i="5"/>
  <c r="AC17" i="4"/>
  <c r="AB19" i="4"/>
  <c r="Z19" i="4"/>
  <c r="Y19" i="4"/>
  <c r="X19" i="4"/>
  <c r="U19" i="4"/>
  <c r="U22" i="4"/>
  <c r="T19" i="4"/>
  <c r="S19" i="4"/>
  <c r="Q19" i="4"/>
  <c r="V18" i="4"/>
  <c r="W18" i="4"/>
  <c r="AC18" i="4"/>
  <c r="AC19" i="4"/>
  <c r="R19" i="4"/>
  <c r="W19" i="4"/>
  <c r="W22" i="4"/>
  <c r="W24" i="4"/>
  <c r="C19" i="4"/>
  <c r="D19" i="4"/>
  <c r="E19" i="4"/>
  <c r="F19" i="4"/>
  <c r="G19" i="4"/>
  <c r="H19" i="4"/>
  <c r="I19" i="4"/>
  <c r="J19" i="4"/>
  <c r="K19" i="4"/>
  <c r="L19" i="4"/>
  <c r="M19" i="4"/>
  <c r="B19" i="4"/>
  <c r="N18" i="4"/>
  <c r="N17" i="4"/>
  <c r="N19" i="4"/>
  <c r="A15" i="4"/>
  <c r="AC16" i="5"/>
  <c r="J102" i="3"/>
  <c r="L102" i="3"/>
  <c r="D102" i="3"/>
  <c r="G102" i="3"/>
  <c r="C102" i="3"/>
  <c r="E102" i="3"/>
  <c r="AA19" i="4"/>
  <c r="AP27" i="5"/>
  <c r="AP17" i="5"/>
  <c r="X22" i="4"/>
  <c r="AL17" i="5"/>
  <c r="V19" i="4"/>
  <c r="AK17" i="5"/>
  <c r="Y22" i="4"/>
  <c r="AG17" i="5"/>
  <c r="P27" i="5"/>
  <c r="P15" i="5"/>
  <c r="P25" i="5"/>
  <c r="P21" i="5"/>
  <c r="P17" i="5"/>
  <c r="AE27" i="5"/>
  <c r="AQ25" i="5"/>
  <c r="AQ31" i="5"/>
  <c r="AI25" i="5"/>
  <c r="AI31" i="5"/>
  <c r="Z25" i="5"/>
  <c r="R25" i="5"/>
  <c r="AE23" i="5"/>
  <c r="AB20" i="5"/>
  <c r="AM15" i="5"/>
  <c r="V15" i="5"/>
  <c r="P28" i="5"/>
  <c r="P24" i="5"/>
  <c r="P20" i="5"/>
  <c r="AE26" i="5"/>
  <c r="AO25" i="5"/>
  <c r="AO31" i="5"/>
  <c r="AG25" i="5"/>
  <c r="AG31" i="5"/>
  <c r="X25" i="5"/>
  <c r="AE21" i="5"/>
  <c r="AO20" i="5"/>
  <c r="X20" i="5"/>
  <c r="AE17" i="5"/>
  <c r="AI15" i="5"/>
  <c r="R15" i="5"/>
  <c r="P23" i="5"/>
  <c r="P19" i="5"/>
  <c r="AM25" i="5"/>
  <c r="AM31" i="5"/>
  <c r="AE25" i="5"/>
  <c r="V25" i="5"/>
  <c r="AK20" i="5"/>
  <c r="T20" i="5"/>
  <c r="AE19" i="5"/>
  <c r="AE15" i="5"/>
  <c r="Q15" i="5"/>
  <c r="P26" i="5"/>
  <c r="P22" i="5"/>
  <c r="P18" i="5"/>
  <c r="AE28" i="5"/>
  <c r="AK25" i="5"/>
  <c r="AK31" i="5"/>
  <c r="AB25" i="5"/>
  <c r="T25" i="5"/>
  <c r="AE24" i="5"/>
  <c r="AG20" i="5"/>
  <c r="AQ15" i="5"/>
  <c r="Z15" i="5"/>
  <c r="P16" i="5"/>
  <c r="Q25" i="5"/>
  <c r="AR25" i="5"/>
  <c r="AR31" i="5"/>
  <c r="AN25" i="5"/>
  <c r="AN31" i="5"/>
  <c r="AJ25" i="5"/>
  <c r="AJ31" i="5"/>
  <c r="AF25" i="5"/>
  <c r="AF31" i="5"/>
  <c r="AA25" i="5"/>
  <c r="W25" i="5"/>
  <c r="S25" i="5"/>
  <c r="AM20" i="5"/>
  <c r="AE20" i="5"/>
  <c r="V20" i="5"/>
  <c r="AE16" i="5"/>
  <c r="AO15" i="5"/>
  <c r="AG15" i="5"/>
  <c r="S15" i="5"/>
  <c r="W15" i="5"/>
  <c r="AA15" i="5"/>
  <c r="AF15" i="5"/>
  <c r="AJ15" i="5"/>
  <c r="AN15" i="5"/>
  <c r="AR15" i="5"/>
  <c r="U20" i="5"/>
  <c r="Y20" i="5"/>
  <c r="AC20" i="5"/>
  <c r="AH20" i="5"/>
  <c r="AL20" i="5"/>
  <c r="AP20" i="5"/>
  <c r="U15" i="5"/>
  <c r="Y15" i="5"/>
  <c r="AC15" i="5"/>
  <c r="AH15" i="5"/>
  <c r="AL15" i="5"/>
  <c r="AP15" i="5"/>
  <c r="S20" i="5"/>
  <c r="W20" i="5"/>
  <c r="AA20" i="5"/>
  <c r="AF20" i="5"/>
  <c r="AJ20" i="5"/>
  <c r="AN20" i="5"/>
  <c r="AR20" i="5"/>
  <c r="Q20" i="5"/>
  <c r="AP25" i="5"/>
  <c r="AP31" i="5"/>
  <c r="AL25" i="5"/>
  <c r="AL31" i="5"/>
  <c r="AH25" i="5"/>
  <c r="AH31" i="5"/>
  <c r="AC25" i="5"/>
  <c r="Y25" i="5"/>
  <c r="U25" i="5"/>
  <c r="AE22" i="5"/>
  <c r="AQ20" i="5"/>
  <c r="AI20" i="5"/>
  <c r="Z20" i="5"/>
  <c r="R20" i="5"/>
  <c r="AE18" i="5"/>
  <c r="AK15" i="5"/>
  <c r="AB15" i="5"/>
  <c r="T15" i="5"/>
  <c r="Y24" i="4"/>
  <c r="V22" i="4"/>
  <c r="AG27" i="5"/>
  <c r="X24" i="4"/>
  <c r="AW16" i="5"/>
  <c r="V24" i="4"/>
  <c r="AR27" i="5"/>
  <c r="BG27" i="5"/>
  <c r="AR21" i="5"/>
  <c r="B10" i="3"/>
  <c r="B9" i="3"/>
  <c r="C11" i="5"/>
  <c r="A50" i="4"/>
  <c r="Q107" i="4"/>
  <c r="B107" i="4"/>
  <c r="B185" i="2"/>
  <c r="Q100" i="4"/>
  <c r="B100" i="4"/>
  <c r="B158" i="2"/>
  <c r="A32" i="4"/>
  <c r="A14" i="4"/>
  <c r="A93" i="2"/>
  <c r="A100" i="2"/>
  <c r="A102" i="2"/>
  <c r="D67" i="1"/>
  <c r="E67" i="1"/>
  <c r="F67" i="1"/>
  <c r="G67" i="1"/>
  <c r="H67" i="1"/>
  <c r="I67" i="1"/>
  <c r="J67" i="1"/>
  <c r="K67" i="1"/>
  <c r="L67" i="1"/>
  <c r="M67" i="1"/>
  <c r="B67" i="1"/>
  <c r="A109" i="4"/>
  <c r="A76" i="4"/>
  <c r="P76" i="4"/>
  <c r="A102" i="4"/>
  <c r="A72" i="4"/>
  <c r="A95" i="4"/>
  <c r="A68" i="4"/>
  <c r="A82" i="4"/>
  <c r="A83" i="4"/>
  <c r="A86" i="4"/>
  <c r="A85" i="4"/>
  <c r="P72" i="4"/>
  <c r="P68" i="4"/>
  <c r="AE31" i="5"/>
  <c r="C208" i="5"/>
  <c r="C246" i="5"/>
  <c r="D246" i="5"/>
  <c r="A25" i="2"/>
  <c r="BG22" i="5"/>
  <c r="AV39" i="5"/>
  <c r="P15" i="4"/>
  <c r="P96" i="4"/>
  <c r="A96" i="4"/>
  <c r="U24" i="4"/>
  <c r="AC24" i="4"/>
  <c r="BG28" i="5"/>
  <c r="AC22" i="4"/>
  <c r="U42" i="4"/>
  <c r="AC40" i="4"/>
  <c r="AC42" i="4"/>
  <c r="T78" i="5"/>
  <c r="F191" i="3"/>
  <c r="T80" i="5"/>
  <c r="F193" i="3"/>
  <c r="T50" i="5"/>
  <c r="T79" i="5"/>
  <c r="F192" i="3"/>
  <c r="AA75" i="5"/>
  <c r="M188" i="3"/>
  <c r="AA80" i="5"/>
  <c r="M193" i="3"/>
  <c r="AR16" i="5"/>
  <c r="BG16" i="5"/>
  <c r="N22" i="4"/>
  <c r="B60" i="5"/>
  <c r="B73" i="5"/>
  <c r="B149" i="3"/>
  <c r="B136" i="3"/>
  <c r="B47" i="5"/>
  <c r="M51" i="5"/>
  <c r="M64" i="5"/>
  <c r="I51" i="5"/>
  <c r="I140" i="3"/>
  <c r="E51" i="5"/>
  <c r="E140" i="3"/>
  <c r="E64" i="5"/>
  <c r="L62" i="5"/>
  <c r="L49" i="5"/>
  <c r="H62" i="5"/>
  <c r="H49" i="5"/>
  <c r="H138" i="3"/>
  <c r="D75" i="5"/>
  <c r="D151" i="3"/>
  <c r="D62" i="5"/>
  <c r="D49" i="5"/>
  <c r="K61" i="5"/>
  <c r="K48" i="5"/>
  <c r="K137" i="3"/>
  <c r="G61" i="5"/>
  <c r="G48" i="5"/>
  <c r="G137" i="3"/>
  <c r="C61" i="5"/>
  <c r="C48" i="5"/>
  <c r="J60" i="5"/>
  <c r="J73" i="5"/>
  <c r="J149" i="3"/>
  <c r="J47" i="5"/>
  <c r="F60" i="5"/>
  <c r="F73" i="5"/>
  <c r="F149" i="3"/>
  <c r="F47" i="5"/>
  <c r="M72" i="5"/>
  <c r="M148" i="3"/>
  <c r="M46" i="5"/>
  <c r="M59" i="5"/>
  <c r="M135" i="3"/>
  <c r="I72" i="5"/>
  <c r="I148" i="3"/>
  <c r="I46" i="5"/>
  <c r="E72" i="5"/>
  <c r="E148" i="3"/>
  <c r="E46" i="5"/>
  <c r="E59" i="5"/>
  <c r="L71" i="5"/>
  <c r="L147" i="3"/>
  <c r="L58" i="5"/>
  <c r="L134" i="3"/>
  <c r="H71" i="5"/>
  <c r="H147" i="3"/>
  <c r="H58" i="5"/>
  <c r="D71" i="5"/>
  <c r="D147" i="3"/>
  <c r="D58" i="5"/>
  <c r="M140" i="3"/>
  <c r="I135" i="3"/>
  <c r="C137" i="3"/>
  <c r="K49" i="5"/>
  <c r="AC33" i="5"/>
  <c r="AR32" i="5"/>
  <c r="A88" i="4"/>
  <c r="AW38" i="5"/>
  <c r="BA39" i="5"/>
  <c r="B71" i="5"/>
  <c r="B147" i="3"/>
  <c r="B45" i="5"/>
  <c r="B58" i="5"/>
  <c r="H75" i="5"/>
  <c r="H151" i="3"/>
  <c r="H76" i="5"/>
  <c r="H80" i="5"/>
  <c r="H156" i="3"/>
  <c r="H63" i="5"/>
  <c r="W75" i="5"/>
  <c r="I188" i="3"/>
  <c r="W76" i="5"/>
  <c r="W63" i="5"/>
  <c r="I189" i="3"/>
  <c r="W74" i="5"/>
  <c r="I187" i="3"/>
  <c r="A89" i="4"/>
  <c r="AY38" i="5"/>
  <c r="AW39" i="5"/>
  <c r="B42" i="4"/>
  <c r="N40" i="4"/>
  <c r="N42" i="4"/>
  <c r="F42" i="4"/>
  <c r="B64" i="5"/>
  <c r="B77" i="5"/>
  <c r="B153" i="3"/>
  <c r="B51" i="5"/>
  <c r="B72" i="5"/>
  <c r="B148" i="3"/>
  <c r="B59" i="5"/>
  <c r="L64" i="5"/>
  <c r="L140" i="3"/>
  <c r="L77" i="5"/>
  <c r="L153" i="3"/>
  <c r="H51" i="5"/>
  <c r="H77" i="5"/>
  <c r="H153" i="3"/>
  <c r="D64" i="5"/>
  <c r="D77" i="5"/>
  <c r="D153" i="3"/>
  <c r="D51" i="5"/>
  <c r="D140" i="3"/>
  <c r="C49" i="5"/>
  <c r="C138" i="3"/>
  <c r="C62" i="5"/>
  <c r="J74" i="5"/>
  <c r="J150" i="3"/>
  <c r="J48" i="5"/>
  <c r="F61" i="5"/>
  <c r="F137" i="3"/>
  <c r="I47" i="5"/>
  <c r="I136" i="3"/>
  <c r="I60" i="5"/>
  <c r="L72" i="5"/>
  <c r="L148" i="3"/>
  <c r="L59" i="5"/>
  <c r="H72" i="5"/>
  <c r="H148" i="3"/>
  <c r="H135" i="3"/>
  <c r="D72" i="5"/>
  <c r="D148" i="3"/>
  <c r="D59" i="5"/>
  <c r="K71" i="5"/>
  <c r="K147" i="3"/>
  <c r="K58" i="5"/>
  <c r="K45" i="5"/>
  <c r="K134" i="3"/>
  <c r="G71" i="5"/>
  <c r="G147" i="3"/>
  <c r="G58" i="5"/>
  <c r="G134" i="3"/>
  <c r="G45" i="5"/>
  <c r="C71" i="5"/>
  <c r="C147" i="3"/>
  <c r="C58" i="5"/>
  <c r="C45" i="5"/>
  <c r="M136" i="3"/>
  <c r="L135" i="3"/>
  <c r="J137" i="3"/>
  <c r="H134" i="3"/>
  <c r="E135" i="3"/>
  <c r="D135" i="3"/>
  <c r="A156" i="3"/>
  <c r="H45" i="5"/>
  <c r="L51" i="5"/>
  <c r="H50" i="5"/>
  <c r="G49" i="5"/>
  <c r="AA50" i="5"/>
  <c r="M60" i="5"/>
  <c r="I59" i="5"/>
  <c r="I64" i="5"/>
  <c r="G62" i="5"/>
  <c r="R74" i="5"/>
  <c r="D187" i="3"/>
  <c r="R76" i="5"/>
  <c r="K72" i="5"/>
  <c r="K148" i="3"/>
  <c r="K59" i="5"/>
  <c r="G72" i="5"/>
  <c r="G148" i="3"/>
  <c r="G59" i="5"/>
  <c r="C46" i="5"/>
  <c r="C72" i="5"/>
  <c r="C148" i="3"/>
  <c r="C59" i="5"/>
  <c r="M138" i="3"/>
  <c r="L137" i="3"/>
  <c r="J140" i="3"/>
  <c r="J134" i="3"/>
  <c r="H136" i="3"/>
  <c r="G135" i="3"/>
  <c r="F134" i="3"/>
  <c r="E137" i="3"/>
  <c r="E134" i="3"/>
  <c r="C136" i="3"/>
  <c r="J51" i="5"/>
  <c r="J49" i="5"/>
  <c r="E49" i="5"/>
  <c r="E48" i="5"/>
  <c r="K52" i="5"/>
  <c r="F58" i="5"/>
  <c r="J77" i="5"/>
  <c r="J153" i="3"/>
  <c r="F77" i="5"/>
  <c r="F153" i="3"/>
  <c r="D74" i="5"/>
  <c r="D150" i="3"/>
  <c r="D63" i="5"/>
  <c r="G141" i="3"/>
  <c r="G52" i="5"/>
  <c r="H74" i="5"/>
  <c r="H150" i="3"/>
  <c r="H61" i="5"/>
  <c r="J59" i="5"/>
  <c r="J72" i="5"/>
  <c r="J148" i="3"/>
  <c r="F59" i="5"/>
  <c r="F72" i="5"/>
  <c r="F148" i="3"/>
  <c r="B138" i="3"/>
  <c r="M137" i="3"/>
  <c r="M134" i="3"/>
  <c r="K140" i="3"/>
  <c r="F140" i="3"/>
  <c r="D136" i="3"/>
  <c r="C135" i="3"/>
  <c r="J45" i="5"/>
  <c r="F45" i="5"/>
  <c r="C51" i="5"/>
  <c r="I49" i="5"/>
  <c r="D48" i="5"/>
  <c r="C52" i="5"/>
  <c r="M58" i="5"/>
  <c r="E58" i="5"/>
  <c r="H60" i="5"/>
  <c r="C65" i="5"/>
  <c r="J75" i="5"/>
  <c r="J151" i="3"/>
  <c r="B75" i="5"/>
  <c r="B151" i="3"/>
  <c r="F75" i="5"/>
  <c r="F151" i="3"/>
  <c r="F80" i="5"/>
  <c r="F156" i="3"/>
  <c r="E74" i="5"/>
  <c r="E150" i="3"/>
  <c r="S80" i="5"/>
  <c r="E193" i="3"/>
  <c r="L78" i="5"/>
  <c r="L154" i="3"/>
  <c r="P50" i="5"/>
  <c r="Q50" i="5"/>
  <c r="F63" i="5"/>
  <c r="F152" i="3"/>
  <c r="Y63" i="5"/>
  <c r="AA74" i="5"/>
  <c r="M187" i="3"/>
  <c r="Y74" i="5"/>
  <c r="K187" i="3"/>
  <c r="X80" i="5"/>
  <c r="J193" i="3"/>
  <c r="T76" i="5"/>
  <c r="S76" i="5"/>
  <c r="Q80" i="5"/>
  <c r="C193" i="3"/>
  <c r="D80" i="5"/>
  <c r="D156" i="3"/>
  <c r="L76" i="5"/>
  <c r="D76" i="5"/>
  <c r="D152" i="3"/>
  <c r="C74" i="5"/>
  <c r="C150" i="3"/>
  <c r="F139" i="3"/>
  <c r="D139" i="3"/>
  <c r="D50" i="5"/>
  <c r="C63" i="5"/>
  <c r="U63" i="5"/>
  <c r="P74" i="5"/>
  <c r="B187" i="3"/>
  <c r="AA76" i="5"/>
  <c r="Q74" i="5"/>
  <c r="C187" i="3"/>
  <c r="F74" i="5"/>
  <c r="F150" i="3"/>
  <c r="K78" i="5"/>
  <c r="K154" i="3"/>
  <c r="K63" i="5"/>
  <c r="K152" i="3"/>
  <c r="P76" i="5"/>
  <c r="Z80" i="5"/>
  <c r="L193" i="3"/>
  <c r="Y80" i="5"/>
  <c r="K193" i="3"/>
  <c r="R80" i="5"/>
  <c r="D193" i="3"/>
  <c r="K75" i="5"/>
  <c r="K151" i="3"/>
  <c r="K74" i="5"/>
  <c r="K150" i="3"/>
  <c r="K139" i="3"/>
  <c r="Z63" i="5"/>
  <c r="L189" i="3"/>
  <c r="R63" i="5"/>
  <c r="P80" i="5"/>
  <c r="B193" i="3"/>
  <c r="K80" i="5"/>
  <c r="K156" i="3"/>
  <c r="G75" i="5"/>
  <c r="G151" i="3"/>
  <c r="C75" i="5"/>
  <c r="C151" i="3"/>
  <c r="AY16" i="5"/>
  <c r="AV38" i="5"/>
  <c r="BA27" i="5"/>
  <c r="BA17" i="5"/>
  <c r="BE27" i="5"/>
  <c r="BF39" i="5"/>
  <c r="BF38" i="5"/>
  <c r="BD39" i="5"/>
  <c r="AY17" i="5"/>
  <c r="BB16" i="5"/>
  <c r="AV16" i="5"/>
  <c r="AZ16" i="5"/>
  <c r="BD16" i="5"/>
  <c r="AW17" i="5"/>
  <c r="AX26" i="5"/>
  <c r="BB26" i="5"/>
  <c r="BF26" i="5"/>
  <c r="AU28" i="5"/>
  <c r="AY28" i="5"/>
  <c r="BC28" i="5"/>
  <c r="BD26" i="5"/>
  <c r="AU27" i="5"/>
  <c r="BE17" i="5"/>
  <c r="AX38" i="5"/>
  <c r="AW27" i="5"/>
  <c r="AU38" i="5"/>
  <c r="BE38" i="5"/>
  <c r="BB38" i="5"/>
  <c r="BF17" i="5"/>
  <c r="AV28" i="5"/>
  <c r="AZ28" i="5"/>
  <c r="BD28" i="5"/>
  <c r="BD27" i="5"/>
  <c r="L79" i="5"/>
  <c r="L155" i="3"/>
  <c r="U50" i="5"/>
  <c r="S63" i="5"/>
  <c r="E189" i="3"/>
  <c r="U76" i="5"/>
  <c r="G189" i="3"/>
  <c r="S79" i="5"/>
  <c r="E192" i="3"/>
  <c r="S75" i="5"/>
  <c r="E188" i="3"/>
  <c r="Q76" i="5"/>
  <c r="M78" i="5"/>
  <c r="M154" i="3"/>
  <c r="M139" i="3"/>
  <c r="L139" i="3"/>
  <c r="H139" i="3"/>
  <c r="G139" i="3"/>
  <c r="C139" i="3"/>
  <c r="J50" i="5"/>
  <c r="X50" i="5"/>
  <c r="S50" i="5"/>
  <c r="AA63" i="5"/>
  <c r="V63" i="5"/>
  <c r="Q63" i="5"/>
  <c r="C189" i="3"/>
  <c r="AA78" i="5"/>
  <c r="M191" i="3"/>
  <c r="X74" i="5"/>
  <c r="J187" i="3"/>
  <c r="W79" i="5"/>
  <c r="I192" i="3"/>
  <c r="V76" i="5"/>
  <c r="H189" i="3"/>
  <c r="U78" i="5"/>
  <c r="G191" i="3"/>
  <c r="U74" i="5"/>
  <c r="G187" i="3"/>
  <c r="S74" i="5"/>
  <c r="E187" i="3"/>
  <c r="Q78" i="5"/>
  <c r="C191" i="3"/>
  <c r="B76" i="5"/>
  <c r="B152" i="3"/>
  <c r="G80" i="5"/>
  <c r="G156" i="3"/>
  <c r="C80" i="5"/>
  <c r="C156" i="3"/>
  <c r="L74" i="5"/>
  <c r="L150" i="3"/>
  <c r="G74" i="5"/>
  <c r="G150" i="3"/>
  <c r="G152" i="3"/>
  <c r="L80" i="5"/>
  <c r="L156" i="3"/>
  <c r="C152" i="3"/>
  <c r="L50" i="5"/>
  <c r="Y50" i="5"/>
  <c r="L63" i="5"/>
  <c r="L152" i="3"/>
  <c r="G63" i="5"/>
  <c r="AA79" i="5"/>
  <c r="M192" i="3"/>
  <c r="Y78" i="5"/>
  <c r="K191" i="3"/>
  <c r="X76" i="5"/>
  <c r="V80" i="5"/>
  <c r="H193" i="3"/>
  <c r="U80" i="5"/>
  <c r="G193" i="3"/>
  <c r="Q79" i="5"/>
  <c r="C192" i="3"/>
  <c r="J76" i="5"/>
  <c r="J152" i="3"/>
  <c r="AV27" i="5"/>
  <c r="AW26" i="5"/>
  <c r="BA26" i="5"/>
  <c r="BE26" i="5"/>
  <c r="BC26" i="5"/>
  <c r="AW28" i="5"/>
  <c r="BA28" i="5"/>
  <c r="BE28" i="5"/>
  <c r="AU16" i="5"/>
  <c r="BC16" i="5"/>
  <c r="AU39" i="5"/>
  <c r="AC32" i="5"/>
  <c r="AZ38" i="5"/>
  <c r="AV17" i="5"/>
  <c r="AZ17" i="5"/>
  <c r="BA38" i="5"/>
  <c r="BD38" i="5"/>
  <c r="AU26" i="5"/>
  <c r="M79" i="5"/>
  <c r="M155" i="3"/>
  <c r="I79" i="5"/>
  <c r="I155" i="3"/>
  <c r="E79" i="5"/>
  <c r="E155" i="3"/>
  <c r="I139" i="3"/>
  <c r="I50" i="5"/>
  <c r="Z79" i="5"/>
  <c r="L192" i="3"/>
  <c r="V75" i="5"/>
  <c r="H188" i="3"/>
  <c r="R79" i="5"/>
  <c r="D192" i="3"/>
  <c r="R75" i="5"/>
  <c r="D188" i="3"/>
  <c r="M75" i="5"/>
  <c r="M151" i="3"/>
  <c r="E139" i="3"/>
  <c r="P63" i="5"/>
  <c r="T63" i="5"/>
  <c r="F189" i="3"/>
  <c r="P75" i="5"/>
  <c r="B188" i="3"/>
  <c r="Y76" i="5"/>
  <c r="K189" i="3"/>
  <c r="X79" i="5"/>
  <c r="J192" i="3"/>
  <c r="V78" i="5"/>
  <c r="H191" i="3"/>
  <c r="T75" i="5"/>
  <c r="F188" i="3"/>
  <c r="M80" i="5"/>
  <c r="M156" i="3"/>
  <c r="I80" i="5"/>
  <c r="I156" i="3"/>
  <c r="M50" i="5"/>
  <c r="E50" i="5"/>
  <c r="Z75" i="5"/>
  <c r="L188" i="3"/>
  <c r="V79" i="5"/>
  <c r="H192" i="3"/>
  <c r="I75" i="5"/>
  <c r="I151" i="3"/>
  <c r="E75" i="5"/>
  <c r="E151" i="3"/>
  <c r="M63" i="5"/>
  <c r="I63" i="5"/>
  <c r="E63" i="5"/>
  <c r="X63" i="5"/>
  <c r="P79" i="5"/>
  <c r="B192" i="3"/>
  <c r="Z78" i="5"/>
  <c r="L191" i="3"/>
  <c r="X75" i="5"/>
  <c r="J188" i="3"/>
  <c r="R78" i="5"/>
  <c r="D191" i="3"/>
  <c r="E80" i="5"/>
  <c r="E156" i="3"/>
  <c r="B78" i="5"/>
  <c r="B154" i="3"/>
  <c r="J78" i="5"/>
  <c r="J154" i="3"/>
  <c r="K50" i="5"/>
  <c r="G50" i="5"/>
  <c r="C50" i="5"/>
  <c r="Z50" i="5"/>
  <c r="V50" i="5"/>
  <c r="R50" i="5"/>
  <c r="Y79" i="5"/>
  <c r="K192" i="3"/>
  <c r="U79" i="5"/>
  <c r="G192" i="3"/>
  <c r="M76" i="5"/>
  <c r="I76" i="5"/>
  <c r="E76" i="5"/>
  <c r="AX27" i="5"/>
  <c r="BB27" i="5"/>
  <c r="BB17" i="5"/>
  <c r="BD17" i="5"/>
  <c r="AY26" i="5"/>
  <c r="AZ27" i="5"/>
  <c r="AY39" i="5"/>
  <c r="BC17" i="5"/>
  <c r="AZ26" i="5"/>
  <c r="BC27" i="5"/>
  <c r="BF28" i="5"/>
  <c r="AZ39" i="5"/>
  <c r="AU17" i="5"/>
  <c r="BF16" i="5"/>
  <c r="AX16" i="5"/>
  <c r="AV26" i="5"/>
  <c r="AY27" i="5"/>
  <c r="AX28" i="5"/>
  <c r="BB28" i="5"/>
  <c r="AX39" i="5"/>
  <c r="BC38" i="5"/>
  <c r="BB39" i="5"/>
  <c r="BC39" i="5"/>
  <c r="BG21" i="5"/>
  <c r="BE39" i="5"/>
  <c r="AX17" i="5"/>
  <c r="M142" i="3"/>
  <c r="G53" i="5"/>
  <c r="I66" i="5"/>
  <c r="C79" i="5"/>
  <c r="C155" i="3"/>
  <c r="K53" i="5"/>
  <c r="C53" i="5"/>
  <c r="K79" i="5"/>
  <c r="K155" i="3"/>
  <c r="C142" i="3"/>
  <c r="I53" i="5"/>
  <c r="G79" i="5"/>
  <c r="G155" i="3"/>
  <c r="J141" i="3"/>
  <c r="F78" i="5"/>
  <c r="F154" i="3"/>
  <c r="F141" i="3"/>
  <c r="B52" i="5"/>
  <c r="J52" i="5"/>
  <c r="B65" i="5"/>
  <c r="J65" i="5"/>
  <c r="F52" i="5"/>
  <c r="I78" i="5"/>
  <c r="I154" i="3"/>
  <c r="H142" i="3"/>
  <c r="B66" i="5"/>
  <c r="B79" i="5"/>
  <c r="B155" i="3"/>
  <c r="J79" i="5"/>
  <c r="J155" i="3"/>
  <c r="J142" i="3"/>
  <c r="D142" i="3"/>
  <c r="J53" i="5"/>
  <c r="F53" i="5"/>
  <c r="L66" i="5"/>
  <c r="H66" i="5"/>
  <c r="D66" i="5"/>
  <c r="H79" i="5"/>
  <c r="H155" i="3"/>
  <c r="B142" i="3"/>
  <c r="F142" i="3"/>
  <c r="F79" i="5"/>
  <c r="F155" i="3"/>
  <c r="L142" i="3"/>
  <c r="I142" i="3"/>
  <c r="L53" i="5"/>
  <c r="D53" i="5"/>
  <c r="L141" i="3"/>
  <c r="D141" i="3"/>
  <c r="G78" i="5"/>
  <c r="G154" i="3"/>
  <c r="D78" i="5"/>
  <c r="D154" i="3"/>
  <c r="M141" i="3"/>
  <c r="K141" i="3"/>
  <c r="I141" i="3"/>
  <c r="E141" i="3"/>
  <c r="C141" i="3"/>
  <c r="L52" i="5"/>
  <c r="H52" i="5"/>
  <c r="D52" i="5"/>
  <c r="L65" i="5"/>
  <c r="H65" i="5"/>
  <c r="H78" i="5"/>
  <c r="H154" i="3"/>
  <c r="B141" i="3"/>
  <c r="M52" i="5"/>
  <c r="I52" i="5"/>
  <c r="E52" i="5"/>
  <c r="M65" i="5"/>
  <c r="E65" i="5"/>
  <c r="A151" i="3"/>
  <c r="P152" i="3"/>
  <c r="A164" i="3"/>
  <c r="A188" i="3"/>
  <c r="P166" i="3"/>
  <c r="P179" i="3"/>
  <c r="A202" i="3"/>
  <c r="A148" i="3"/>
  <c r="P149" i="3"/>
  <c r="A161" i="3"/>
  <c r="A185" i="3"/>
  <c r="P163" i="3"/>
  <c r="P176" i="3"/>
  <c r="A199" i="3"/>
  <c r="A147" i="3"/>
  <c r="P148" i="3"/>
  <c r="A160" i="3"/>
  <c r="A184" i="3"/>
  <c r="P162" i="3"/>
  <c r="P175" i="3"/>
  <c r="A198" i="3"/>
  <c r="P154" i="3"/>
  <c r="A166" i="3"/>
  <c r="A190" i="3"/>
  <c r="P168" i="3"/>
  <c r="P181" i="3"/>
  <c r="A204" i="3"/>
  <c r="A153" i="3"/>
  <c r="A150" i="3"/>
  <c r="P151" i="3"/>
  <c r="A163" i="3"/>
  <c r="A187" i="3"/>
  <c r="P165" i="3"/>
  <c r="P178" i="3"/>
  <c r="A201" i="3"/>
  <c r="A152" i="3"/>
  <c r="P153" i="3"/>
  <c r="A165" i="3"/>
  <c r="A189" i="3"/>
  <c r="P167" i="3"/>
  <c r="P180" i="3"/>
  <c r="A203" i="3"/>
  <c r="P150" i="3"/>
  <c r="A162" i="3"/>
  <c r="A186" i="3"/>
  <c r="P164" i="3"/>
  <c r="P177" i="3"/>
  <c r="A200" i="3"/>
  <c r="A149" i="3"/>
  <c r="A155" i="3"/>
  <c r="P156" i="3"/>
  <c r="A168" i="3"/>
  <c r="A192" i="3"/>
  <c r="P170" i="3"/>
  <c r="P183" i="3"/>
  <c r="A206" i="3"/>
  <c r="P155" i="3"/>
  <c r="A167" i="3"/>
  <c r="A191" i="3"/>
  <c r="P169" i="3"/>
  <c r="P182" i="3"/>
  <c r="A205" i="3"/>
  <c r="A154" i="3"/>
  <c r="J189" i="3"/>
  <c r="D189" i="3"/>
  <c r="AR33" i="5"/>
  <c r="BG33" i="5"/>
  <c r="M189" i="3"/>
  <c r="H152" i="3"/>
  <c r="B189" i="3"/>
  <c r="E152" i="3"/>
  <c r="I152" i="3"/>
  <c r="M152" i="3"/>
  <c r="BG32" i="5"/>
  <c r="E63" i="3"/>
  <c r="M62" i="3"/>
  <c r="I63" i="3"/>
  <c r="C74" i="3"/>
  <c r="N76" i="3"/>
  <c r="N87" i="3"/>
  <c r="D71" i="3"/>
  <c r="D88" i="3"/>
  <c r="D63" i="3"/>
  <c r="L38" i="5"/>
  <c r="L120" i="3"/>
  <c r="L75" i="3"/>
  <c r="J16" i="5"/>
  <c r="J69" i="3"/>
  <c r="F38" i="5"/>
  <c r="F120" i="3"/>
  <c r="D74" i="3"/>
  <c r="F26" i="5"/>
  <c r="F79" i="3"/>
  <c r="H27" i="5"/>
  <c r="H80" i="3"/>
  <c r="C28" i="5"/>
  <c r="C39" i="5"/>
  <c r="C121" i="3"/>
  <c r="D27" i="5"/>
  <c r="D80" i="3"/>
  <c r="G27" i="5"/>
  <c r="G80" i="3"/>
  <c r="M74" i="3"/>
  <c r="N28" i="5"/>
  <c r="N81" i="3"/>
  <c r="I17" i="5"/>
  <c r="I70" i="3"/>
  <c r="H75" i="3"/>
  <c r="N38" i="5"/>
  <c r="N120" i="3"/>
  <c r="M39" i="5"/>
  <c r="M121" i="3"/>
  <c r="M27" i="5"/>
  <c r="M80" i="3"/>
  <c r="D26" i="5"/>
  <c r="D79" i="3"/>
  <c r="G17" i="5"/>
  <c r="G70" i="3"/>
  <c r="L26" i="5"/>
  <c r="L79" i="3"/>
  <c r="H26" i="5"/>
  <c r="H79" i="3"/>
  <c r="J75" i="3"/>
  <c r="J26" i="5"/>
  <c r="J79" i="3"/>
  <c r="D39" i="5"/>
  <c r="D121" i="3"/>
  <c r="B75" i="3"/>
  <c r="C27" i="5"/>
  <c r="C80" i="3"/>
  <c r="N39" i="5"/>
  <c r="N121" i="3"/>
  <c r="H38" i="5"/>
  <c r="H120" i="3"/>
  <c r="L74" i="3"/>
  <c r="L28" i="5"/>
  <c r="D75" i="3"/>
  <c r="M38" i="5"/>
  <c r="M120" i="3"/>
  <c r="H28" i="5"/>
  <c r="H39" i="5"/>
  <c r="H121" i="3"/>
  <c r="K17" i="5"/>
  <c r="K70" i="3"/>
  <c r="F16" i="5"/>
  <c r="F69" i="3"/>
  <c r="B16" i="5"/>
  <c r="B69" i="3"/>
  <c r="D16" i="5"/>
  <c r="D69" i="3"/>
  <c r="K38" i="5"/>
  <c r="K120" i="3"/>
  <c r="C38" i="5"/>
  <c r="C120" i="3"/>
  <c r="M17" i="5"/>
  <c r="M70" i="3"/>
  <c r="L17" i="5"/>
  <c r="L70" i="3"/>
  <c r="K27" i="5"/>
  <c r="K80" i="3"/>
  <c r="K28" i="5"/>
  <c r="B39" i="5"/>
  <c r="B121" i="3"/>
  <c r="E26" i="5"/>
  <c r="E79" i="3"/>
  <c r="N16" i="5"/>
  <c r="N69" i="3"/>
  <c r="B38" i="5"/>
  <c r="B120" i="3"/>
  <c r="C16" i="5"/>
  <c r="C69" i="3"/>
  <c r="G75" i="3"/>
  <c r="J27" i="5"/>
  <c r="J80" i="3"/>
  <c r="F17" i="5"/>
  <c r="F70" i="3"/>
  <c r="B27" i="5"/>
  <c r="B80" i="3"/>
  <c r="I38" i="5"/>
  <c r="I120" i="3"/>
  <c r="K75" i="3"/>
  <c r="F28" i="5"/>
  <c r="G74" i="3"/>
  <c r="N27" i="5"/>
  <c r="N80" i="3"/>
  <c r="F39" i="5"/>
  <c r="F121" i="3"/>
  <c r="K74" i="3"/>
  <c r="M28" i="5"/>
  <c r="H74" i="3"/>
  <c r="C75" i="3"/>
  <c r="E75" i="3"/>
  <c r="I39" i="5"/>
  <c r="I121" i="3"/>
  <c r="K39" i="5"/>
  <c r="K121" i="3"/>
  <c r="N22" i="5"/>
  <c r="N75" i="3"/>
  <c r="M26" i="5"/>
  <c r="M79" i="3"/>
  <c r="G16" i="5"/>
  <c r="G69" i="3"/>
  <c r="I27" i="5"/>
  <c r="I80" i="3"/>
  <c r="K26" i="5"/>
  <c r="K79" i="3"/>
  <c r="I16" i="5"/>
  <c r="I69" i="3"/>
  <c r="K16" i="5"/>
  <c r="K69" i="3"/>
  <c r="I26" i="5"/>
  <c r="I79" i="3"/>
  <c r="B26" i="5"/>
  <c r="B79" i="3"/>
  <c r="E38" i="5"/>
  <c r="E120" i="3"/>
  <c r="E74" i="3"/>
  <c r="D38" i="5"/>
  <c r="D120" i="3"/>
  <c r="J28" i="5"/>
  <c r="E39" i="5"/>
  <c r="E121" i="3"/>
  <c r="L27" i="5"/>
  <c r="L80" i="3"/>
  <c r="C17" i="5"/>
  <c r="C70" i="3"/>
  <c r="G39" i="5"/>
  <c r="G121" i="3"/>
  <c r="M16" i="5"/>
  <c r="M69" i="3"/>
  <c r="E27" i="5"/>
  <c r="E80" i="3"/>
  <c r="C26" i="5"/>
  <c r="C79" i="3"/>
  <c r="F75" i="3"/>
  <c r="H17" i="5"/>
  <c r="H70" i="3"/>
  <c r="H16" i="5"/>
  <c r="H69" i="3"/>
  <c r="I74" i="3"/>
  <c r="D28" i="5"/>
  <c r="G28" i="5"/>
  <c r="D17" i="5"/>
  <c r="D70" i="3"/>
  <c r="I75" i="3"/>
  <c r="G26" i="5"/>
  <c r="G79" i="3"/>
  <c r="L16" i="5"/>
  <c r="L69" i="3"/>
  <c r="M75" i="3"/>
  <c r="B28" i="5"/>
  <c r="G38" i="5"/>
  <c r="G120" i="3"/>
  <c r="I28" i="5"/>
  <c r="E16" i="5"/>
  <c r="E69" i="3"/>
  <c r="J74" i="3"/>
  <c r="N32" i="5"/>
  <c r="B74" i="3"/>
  <c r="L39" i="5"/>
  <c r="L121" i="3"/>
  <c r="J39" i="5"/>
  <c r="J121" i="3"/>
  <c r="F27" i="5"/>
  <c r="F80" i="3"/>
  <c r="J38" i="5"/>
  <c r="J120" i="3"/>
  <c r="E17" i="5"/>
  <c r="E70" i="3"/>
  <c r="B17" i="5"/>
  <c r="B70" i="3"/>
  <c r="F74" i="3"/>
  <c r="N21" i="5"/>
  <c r="N74" i="3"/>
  <c r="E62" i="3"/>
  <c r="N33" i="5"/>
  <c r="A14" i="5"/>
  <c r="E28" i="5"/>
  <c r="J17" i="5"/>
  <c r="J70" i="3"/>
  <c r="E71" i="3"/>
  <c r="E88" i="3"/>
  <c r="I71" i="3"/>
  <c r="I88" i="3"/>
  <c r="N62" i="3"/>
  <c r="J62" i="3"/>
  <c r="B223" i="3"/>
  <c r="E64" i="3"/>
  <c r="B63" i="3"/>
  <c r="B71" i="3"/>
  <c r="B88" i="3"/>
  <c r="E89" i="3"/>
  <c r="E28" i="3"/>
  <c r="G71" i="3"/>
  <c r="G88" i="3"/>
  <c r="G63" i="3"/>
  <c r="H62" i="3"/>
  <c r="B214" i="3"/>
  <c r="B215" i="3"/>
  <c r="N79" i="3"/>
  <c r="B217" i="3"/>
  <c r="K63" i="3"/>
  <c r="K71" i="3"/>
  <c r="K88" i="3"/>
  <c r="X124" i="3"/>
  <c r="X128" i="3"/>
  <c r="X131" i="3"/>
  <c r="X125" i="3"/>
  <c r="X126" i="3"/>
  <c r="X127" i="3"/>
  <c r="X123" i="3"/>
  <c r="X130" i="3"/>
  <c r="X122" i="3"/>
  <c r="X129" i="3"/>
  <c r="B62" i="3"/>
  <c r="D62" i="3"/>
  <c r="D64" i="3"/>
  <c r="G62" i="3"/>
  <c r="G64" i="3"/>
  <c r="M71" i="3"/>
  <c r="M88" i="3"/>
  <c r="M63" i="3"/>
  <c r="M64" i="3"/>
  <c r="C71" i="3"/>
  <c r="C88" i="3"/>
  <c r="C63" i="3"/>
  <c r="L62" i="3"/>
  <c r="J63" i="3"/>
  <c r="J71" i="3"/>
  <c r="J88" i="3"/>
  <c r="J89" i="3"/>
  <c r="J28" i="3"/>
  <c r="T125" i="3"/>
  <c r="T128" i="3"/>
  <c r="T131" i="3"/>
  <c r="T122" i="3"/>
  <c r="T126" i="3"/>
  <c r="T123" i="3"/>
  <c r="T129" i="3"/>
  <c r="T124" i="3"/>
  <c r="T130" i="3"/>
  <c r="T127" i="3"/>
  <c r="B153" i="5"/>
  <c r="B216" i="3"/>
  <c r="N70" i="3"/>
  <c r="C62" i="3"/>
  <c r="F62" i="3"/>
  <c r="H71" i="3"/>
  <c r="H88" i="3"/>
  <c r="H63" i="3"/>
  <c r="N63" i="3"/>
  <c r="N71" i="3"/>
  <c r="N88" i="3"/>
  <c r="N89" i="3"/>
  <c r="N28" i="3"/>
  <c r="F63" i="3"/>
  <c r="F71" i="3"/>
  <c r="F88" i="3"/>
  <c r="I62" i="3"/>
  <c r="I64" i="3"/>
  <c r="L71" i="3"/>
  <c r="L88" i="3"/>
  <c r="L63" i="3"/>
  <c r="K62" i="3"/>
  <c r="S125" i="3"/>
  <c r="S129" i="3"/>
  <c r="S122" i="3"/>
  <c r="S126" i="3"/>
  <c r="S130" i="3"/>
  <c r="S123" i="3"/>
  <c r="S131" i="3"/>
  <c r="S124" i="3"/>
  <c r="S128" i="3"/>
  <c r="S127" i="3"/>
  <c r="B222" i="3"/>
  <c r="M89" i="3"/>
  <c r="M28" i="3"/>
  <c r="N64" i="3"/>
  <c r="AB142" i="3"/>
  <c r="J64" i="3"/>
  <c r="K64" i="3"/>
  <c r="F64" i="3"/>
  <c r="B64" i="3"/>
  <c r="D88" i="5"/>
  <c r="S149" i="3"/>
  <c r="S176" i="3"/>
  <c r="F89" i="3"/>
  <c r="F28" i="3"/>
  <c r="T153" i="3"/>
  <c r="E92" i="5"/>
  <c r="T180" i="3"/>
  <c r="T176" i="3"/>
  <c r="E88" i="5"/>
  <c r="T149" i="3"/>
  <c r="T154" i="3"/>
  <c r="E93" i="5"/>
  <c r="T181" i="3"/>
  <c r="AB137" i="3"/>
  <c r="AB164" i="3"/>
  <c r="AB141" i="3"/>
  <c r="AB168" i="3"/>
  <c r="R125" i="3"/>
  <c r="R129" i="3"/>
  <c r="R122" i="3"/>
  <c r="R126" i="3"/>
  <c r="R130" i="3"/>
  <c r="R123" i="3"/>
  <c r="R131" i="3"/>
  <c r="R124" i="3"/>
  <c r="R128" i="3"/>
  <c r="R127" i="3"/>
  <c r="Y141" i="3"/>
  <c r="Y168" i="3"/>
  <c r="Y138" i="3"/>
  <c r="Y165" i="3"/>
  <c r="Y144" i="3"/>
  <c r="Y171" i="3"/>
  <c r="X132" i="3"/>
  <c r="I87" i="5"/>
  <c r="X175" i="3"/>
  <c r="X148" i="3"/>
  <c r="I91" i="5"/>
  <c r="X179" i="3"/>
  <c r="X152" i="3"/>
  <c r="I89" i="5"/>
  <c r="X150" i="3"/>
  <c r="X177" i="3"/>
  <c r="H89" i="3"/>
  <c r="H28" i="3"/>
  <c r="T141" i="3"/>
  <c r="E113" i="3"/>
  <c r="T168" i="3"/>
  <c r="E108" i="3"/>
  <c r="T163" i="3"/>
  <c r="T136" i="3"/>
  <c r="E111" i="3"/>
  <c r="T139" i="3"/>
  <c r="T166" i="3"/>
  <c r="S154" i="3"/>
  <c r="D93" i="5"/>
  <c r="S181" i="3"/>
  <c r="D95" i="5"/>
  <c r="S183" i="3"/>
  <c r="S156" i="3"/>
  <c r="D90" i="5"/>
  <c r="S151" i="3"/>
  <c r="S178" i="3"/>
  <c r="U122" i="3"/>
  <c r="U126" i="3"/>
  <c r="U129" i="3"/>
  <c r="U123" i="3"/>
  <c r="U127" i="3"/>
  <c r="U130" i="3"/>
  <c r="U128" i="3"/>
  <c r="U125" i="3"/>
  <c r="U124" i="3"/>
  <c r="U131" i="3"/>
  <c r="W125" i="3"/>
  <c r="W128" i="3"/>
  <c r="W122" i="3"/>
  <c r="W126" i="3"/>
  <c r="W129" i="3"/>
  <c r="W127" i="3"/>
  <c r="W124" i="3"/>
  <c r="W131" i="3"/>
  <c r="W130" i="3"/>
  <c r="W123" i="3"/>
  <c r="C89" i="3"/>
  <c r="C28" i="3"/>
  <c r="E95" i="5"/>
  <c r="T183" i="3"/>
  <c r="T156" i="3"/>
  <c r="E91" i="5"/>
  <c r="T179" i="3"/>
  <c r="T152" i="3"/>
  <c r="T178" i="3"/>
  <c r="E90" i="5"/>
  <c r="T151" i="3"/>
  <c r="AB139" i="3"/>
  <c r="AB166" i="3"/>
  <c r="AB138" i="3"/>
  <c r="AB165" i="3"/>
  <c r="L64" i="3"/>
  <c r="Y170" i="3"/>
  <c r="Y143" i="3"/>
  <c r="Y140" i="3"/>
  <c r="Y167" i="3"/>
  <c r="G89" i="3"/>
  <c r="G28" i="3"/>
  <c r="B89" i="3"/>
  <c r="B28" i="3"/>
  <c r="I95" i="5"/>
  <c r="X156" i="3"/>
  <c r="X183" i="3"/>
  <c r="I90" i="5"/>
  <c r="X151" i="3"/>
  <c r="X178" i="3"/>
  <c r="Z122" i="3"/>
  <c r="Z126" i="3"/>
  <c r="Z130" i="3"/>
  <c r="Z124" i="3"/>
  <c r="Z129" i="3"/>
  <c r="Z125" i="3"/>
  <c r="Z131" i="3"/>
  <c r="Z123" i="3"/>
  <c r="Z128" i="3"/>
  <c r="Z127" i="3"/>
  <c r="T137" i="3"/>
  <c r="E109" i="3"/>
  <c r="T164" i="3"/>
  <c r="E114" i="3"/>
  <c r="T169" i="3"/>
  <c r="T142" i="3"/>
  <c r="T135" i="3"/>
  <c r="E107" i="3"/>
  <c r="T119" i="3"/>
  <c r="T162" i="3"/>
  <c r="S177" i="3"/>
  <c r="D89" i="5"/>
  <c r="S150" i="3"/>
  <c r="S152" i="3"/>
  <c r="D91" i="5"/>
  <c r="S179" i="3"/>
  <c r="AA122" i="3"/>
  <c r="AA126" i="3"/>
  <c r="AA130" i="3"/>
  <c r="AA124" i="3"/>
  <c r="AA129" i="3"/>
  <c r="AA125" i="3"/>
  <c r="AA131" i="3"/>
  <c r="AA123" i="3"/>
  <c r="AA128" i="3"/>
  <c r="AA127" i="3"/>
  <c r="C64" i="3"/>
  <c r="E89" i="5"/>
  <c r="T150" i="3"/>
  <c r="T177" i="3"/>
  <c r="T132" i="3"/>
  <c r="E87" i="5"/>
  <c r="T148" i="3"/>
  <c r="T175" i="3"/>
  <c r="AB143" i="3"/>
  <c r="AB170" i="3"/>
  <c r="AB144" i="3"/>
  <c r="AB171" i="3"/>
  <c r="L89" i="3"/>
  <c r="L28" i="3"/>
  <c r="AB122" i="3"/>
  <c r="M107" i="3"/>
  <c r="AB126" i="3"/>
  <c r="AB124" i="3"/>
  <c r="M109" i="3"/>
  <c r="AB128" i="3"/>
  <c r="AB125" i="3"/>
  <c r="AB129" i="3"/>
  <c r="AB123" i="3"/>
  <c r="AB131" i="3"/>
  <c r="AB127" i="3"/>
  <c r="AB130" i="3"/>
  <c r="Y137" i="3"/>
  <c r="Y164" i="3"/>
  <c r="Y139" i="3"/>
  <c r="Y166" i="3"/>
  <c r="Y136" i="3"/>
  <c r="Y163" i="3"/>
  <c r="I88" i="5"/>
  <c r="X176" i="3"/>
  <c r="X149" i="3"/>
  <c r="I96" i="5"/>
  <c r="X157" i="3"/>
  <c r="X184" i="3"/>
  <c r="V125" i="3"/>
  <c r="V129" i="3"/>
  <c r="V122" i="3"/>
  <c r="V126" i="3"/>
  <c r="V130" i="3"/>
  <c r="V127" i="3"/>
  <c r="V128" i="3"/>
  <c r="V124" i="3"/>
  <c r="V131" i="3"/>
  <c r="V123" i="3"/>
  <c r="T144" i="3"/>
  <c r="E116" i="3"/>
  <c r="T171" i="3"/>
  <c r="E110" i="3"/>
  <c r="T165" i="3"/>
  <c r="T138" i="3"/>
  <c r="E163" i="3"/>
  <c r="Q125" i="3"/>
  <c r="Q129" i="3"/>
  <c r="Q124" i="3"/>
  <c r="Q130" i="3"/>
  <c r="Q126" i="3"/>
  <c r="Q131" i="3"/>
  <c r="Q123" i="3"/>
  <c r="Q128" i="3"/>
  <c r="Q122" i="3"/>
  <c r="Q127" i="3"/>
  <c r="D92" i="5"/>
  <c r="S180" i="3"/>
  <c r="S153" i="3"/>
  <c r="D94" i="5"/>
  <c r="S182" i="3"/>
  <c r="S155" i="3"/>
  <c r="I89" i="3"/>
  <c r="I28" i="3"/>
  <c r="D96" i="5"/>
  <c r="S157" i="3"/>
  <c r="S184" i="3"/>
  <c r="S175" i="3"/>
  <c r="S132" i="3"/>
  <c r="D87" i="5"/>
  <c r="S148" i="3"/>
  <c r="K89" i="3"/>
  <c r="K28" i="3"/>
  <c r="B213" i="3"/>
  <c r="E94" i="5"/>
  <c r="T182" i="3"/>
  <c r="T155" i="3"/>
  <c r="E96" i="5"/>
  <c r="T157" i="3"/>
  <c r="T184" i="3"/>
  <c r="AB169" i="3"/>
  <c r="AB135" i="3"/>
  <c r="AB162" i="3"/>
  <c r="AB140" i="3"/>
  <c r="AB167" i="3"/>
  <c r="Y122" i="3"/>
  <c r="Y126" i="3"/>
  <c r="J111" i="3"/>
  <c r="Y123" i="3"/>
  <c r="J108" i="3"/>
  <c r="Y127" i="3"/>
  <c r="J112" i="3"/>
  <c r="Y130" i="3"/>
  <c r="J115" i="3"/>
  <c r="Y124" i="3"/>
  <c r="J109" i="3"/>
  <c r="Y129" i="3"/>
  <c r="J114" i="3"/>
  <c r="Y125" i="3"/>
  <c r="J110" i="3"/>
  <c r="Y131" i="3"/>
  <c r="Y128" i="3"/>
  <c r="J113" i="3"/>
  <c r="Y142" i="3"/>
  <c r="Y169" i="3"/>
  <c r="Y119" i="3"/>
  <c r="Y162" i="3"/>
  <c r="Y135" i="3"/>
  <c r="D89" i="3"/>
  <c r="D28" i="3"/>
  <c r="I94" i="5"/>
  <c r="X182" i="3"/>
  <c r="X155" i="3"/>
  <c r="X153" i="3"/>
  <c r="X180" i="3"/>
  <c r="I92" i="5"/>
  <c r="X154" i="3"/>
  <c r="I93" i="5"/>
  <c r="X181" i="3"/>
  <c r="H64" i="3"/>
  <c r="T140" i="3"/>
  <c r="E112" i="3"/>
  <c r="T167" i="3"/>
  <c r="E115" i="3"/>
  <c r="T170" i="3"/>
  <c r="T143" i="3"/>
  <c r="AB163" i="3"/>
  <c r="AB136" i="3"/>
  <c r="B224" i="3"/>
  <c r="C15" i="3"/>
  <c r="F15" i="3"/>
  <c r="AB119" i="3"/>
  <c r="M114" i="3"/>
  <c r="E165" i="3"/>
  <c r="E205" i="3"/>
  <c r="E207" i="3"/>
  <c r="E168" i="3"/>
  <c r="E166" i="3"/>
  <c r="S185" i="3"/>
  <c r="S158" i="3"/>
  <c r="S136" i="3"/>
  <c r="D161" i="3"/>
  <c r="D108" i="3"/>
  <c r="S163" i="3"/>
  <c r="D199" i="3"/>
  <c r="Y157" i="3"/>
  <c r="J169" i="3"/>
  <c r="J96" i="5"/>
  <c r="Y184" i="3"/>
  <c r="J207" i="3"/>
  <c r="Y132" i="3"/>
  <c r="J87" i="5"/>
  <c r="Y175" i="3"/>
  <c r="Y148" i="3"/>
  <c r="K112" i="3"/>
  <c r="Z167" i="3"/>
  <c r="Z140" i="3"/>
  <c r="I111" i="3"/>
  <c r="X139" i="3"/>
  <c r="I164" i="3"/>
  <c r="X166" i="3"/>
  <c r="I202" i="3"/>
  <c r="AC130" i="3"/>
  <c r="B95" i="5"/>
  <c r="Q183" i="3"/>
  <c r="Q156" i="3"/>
  <c r="G94" i="5"/>
  <c r="V182" i="3"/>
  <c r="V155" i="3"/>
  <c r="M95" i="5"/>
  <c r="AB183" i="3"/>
  <c r="M206" i="3"/>
  <c r="AB156" i="3"/>
  <c r="M168" i="3"/>
  <c r="M91" i="5"/>
  <c r="AB179" i="3"/>
  <c r="M202" i="3"/>
  <c r="AB152" i="3"/>
  <c r="M164" i="3"/>
  <c r="AA138" i="3"/>
  <c r="L110" i="3"/>
  <c r="AA165" i="3"/>
  <c r="L95" i="5"/>
  <c r="AA183" i="3"/>
  <c r="AA156" i="3"/>
  <c r="K88" i="5"/>
  <c r="Z176" i="3"/>
  <c r="Z149" i="3"/>
  <c r="K89" i="5"/>
  <c r="Z150" i="3"/>
  <c r="Z177" i="3"/>
  <c r="AC116" i="3"/>
  <c r="B114" i="3"/>
  <c r="Q142" i="3"/>
  <c r="Q169" i="3"/>
  <c r="B108" i="3"/>
  <c r="AC110" i="3"/>
  <c r="Q163" i="3"/>
  <c r="Q136" i="3"/>
  <c r="V141" i="3"/>
  <c r="G113" i="3"/>
  <c r="V168" i="3"/>
  <c r="Y145" i="3"/>
  <c r="R137" i="3"/>
  <c r="C109" i="3"/>
  <c r="R164" i="3"/>
  <c r="C108" i="3"/>
  <c r="R163" i="3"/>
  <c r="R136" i="3"/>
  <c r="W132" i="3"/>
  <c r="H87" i="5"/>
  <c r="W148" i="3"/>
  <c r="W175" i="3"/>
  <c r="U175" i="3"/>
  <c r="U132" i="3"/>
  <c r="F87" i="5"/>
  <c r="U148" i="3"/>
  <c r="H116" i="3"/>
  <c r="W144" i="3"/>
  <c r="W171" i="3"/>
  <c r="H109" i="3"/>
  <c r="W137" i="3"/>
  <c r="W164" i="3"/>
  <c r="J116" i="3"/>
  <c r="C95" i="5"/>
  <c r="R183" i="3"/>
  <c r="R156" i="3"/>
  <c r="C90" i="5"/>
  <c r="R151" i="3"/>
  <c r="R178" i="3"/>
  <c r="F115" i="3"/>
  <c r="U170" i="3"/>
  <c r="U143" i="3"/>
  <c r="F108" i="3"/>
  <c r="U136" i="3"/>
  <c r="U163" i="3"/>
  <c r="U138" i="3"/>
  <c r="F110" i="3"/>
  <c r="U165" i="3"/>
  <c r="L202" i="5"/>
  <c r="D202" i="5"/>
  <c r="S141" i="3"/>
  <c r="D166" i="3"/>
  <c r="D113" i="3"/>
  <c r="S168" i="3"/>
  <c r="D204" i="3"/>
  <c r="S119" i="3"/>
  <c r="D107" i="3"/>
  <c r="S135" i="3"/>
  <c r="S162" i="3"/>
  <c r="AB145" i="3"/>
  <c r="K110" i="3"/>
  <c r="Z138" i="3"/>
  <c r="Z165" i="3"/>
  <c r="I114" i="3"/>
  <c r="X169" i="3"/>
  <c r="I205" i="3"/>
  <c r="X142" i="3"/>
  <c r="I167" i="3"/>
  <c r="AC123" i="3"/>
  <c r="B88" i="5"/>
  <c r="Q176" i="3"/>
  <c r="Q149" i="3"/>
  <c r="V184" i="3"/>
  <c r="G96" i="5"/>
  <c r="V157" i="3"/>
  <c r="G90" i="5"/>
  <c r="V178" i="3"/>
  <c r="V151" i="3"/>
  <c r="AB153" i="3"/>
  <c r="M165" i="3"/>
  <c r="M92" i="5"/>
  <c r="AB180" i="3"/>
  <c r="M203" i="3"/>
  <c r="M90" i="5"/>
  <c r="AB151" i="3"/>
  <c r="M163" i="3"/>
  <c r="AB178" i="3"/>
  <c r="M201" i="3"/>
  <c r="AA119" i="3"/>
  <c r="L107" i="3"/>
  <c r="AA162" i="3"/>
  <c r="AA135" i="3"/>
  <c r="AA139" i="3"/>
  <c r="L111" i="3"/>
  <c r="AA166" i="3"/>
  <c r="T185" i="3"/>
  <c r="L92" i="5"/>
  <c r="AA180" i="3"/>
  <c r="AA153" i="3"/>
  <c r="L90" i="5"/>
  <c r="AA178" i="3"/>
  <c r="AA151" i="3"/>
  <c r="AA152" i="3"/>
  <c r="L91" i="5"/>
  <c r="AA179" i="3"/>
  <c r="T172" i="3"/>
  <c r="E177" i="3"/>
  <c r="E30" i="3"/>
  <c r="E198" i="3"/>
  <c r="E160" i="3"/>
  <c r="T145" i="3"/>
  <c r="K96" i="5"/>
  <c r="Z184" i="3"/>
  <c r="Z157" i="3"/>
  <c r="K95" i="5"/>
  <c r="Z183" i="3"/>
  <c r="Z156" i="3"/>
  <c r="Q141" i="3"/>
  <c r="AC115" i="3"/>
  <c r="B113" i="3"/>
  <c r="Q168" i="3"/>
  <c r="Q135" i="3"/>
  <c r="B107" i="3"/>
  <c r="AC109" i="3"/>
  <c r="Q119" i="3"/>
  <c r="Q162" i="3"/>
  <c r="V135" i="3"/>
  <c r="V119" i="3"/>
  <c r="G107" i="3"/>
  <c r="V162" i="3"/>
  <c r="G116" i="3"/>
  <c r="V171" i="3"/>
  <c r="V144" i="3"/>
  <c r="V137" i="3"/>
  <c r="G109" i="3"/>
  <c r="V164" i="3"/>
  <c r="C114" i="3"/>
  <c r="R169" i="3"/>
  <c r="R142" i="3"/>
  <c r="R135" i="3"/>
  <c r="R119" i="3"/>
  <c r="C107" i="3"/>
  <c r="R162" i="3"/>
  <c r="H88" i="5"/>
  <c r="W149" i="3"/>
  <c r="W176" i="3"/>
  <c r="H92" i="5"/>
  <c r="W153" i="3"/>
  <c r="W180" i="3"/>
  <c r="W154" i="3"/>
  <c r="H93" i="5"/>
  <c r="W181" i="3"/>
  <c r="F90" i="5"/>
  <c r="U178" i="3"/>
  <c r="U151" i="3"/>
  <c r="F88" i="5"/>
  <c r="U176" i="3"/>
  <c r="U149" i="3"/>
  <c r="H115" i="3"/>
  <c r="W170" i="3"/>
  <c r="W143" i="3"/>
  <c r="H112" i="3"/>
  <c r="W167" i="3"/>
  <c r="H203" i="3"/>
  <c r="W140" i="3"/>
  <c r="I97" i="5"/>
  <c r="C89" i="5"/>
  <c r="R177" i="3"/>
  <c r="R150" i="3"/>
  <c r="C91" i="5"/>
  <c r="R179" i="3"/>
  <c r="R152" i="3"/>
  <c r="F107" i="3"/>
  <c r="U119" i="3"/>
  <c r="U135" i="3"/>
  <c r="U162" i="3"/>
  <c r="U141" i="3"/>
  <c r="F113" i="3"/>
  <c r="U168" i="3"/>
  <c r="E202" i="5"/>
  <c r="K202" i="5"/>
  <c r="I202" i="5"/>
  <c r="E206" i="3"/>
  <c r="D116" i="3"/>
  <c r="S171" i="3"/>
  <c r="D207" i="3"/>
  <c r="S144" i="3"/>
  <c r="D169" i="3"/>
  <c r="S138" i="3"/>
  <c r="D163" i="3"/>
  <c r="D110" i="3"/>
  <c r="S165" i="3"/>
  <c r="D201" i="3"/>
  <c r="J233" i="5"/>
  <c r="J234" i="5"/>
  <c r="J94" i="5"/>
  <c r="Y182" i="3"/>
  <c r="J205" i="3"/>
  <c r="Y155" i="3"/>
  <c r="J167" i="3"/>
  <c r="J88" i="5"/>
  <c r="Y149" i="3"/>
  <c r="J161" i="3"/>
  <c r="Y176" i="3"/>
  <c r="J199" i="3"/>
  <c r="M112" i="3"/>
  <c r="K114" i="3"/>
  <c r="Z169" i="3"/>
  <c r="Z142" i="3"/>
  <c r="Z137" i="3"/>
  <c r="K109" i="3"/>
  <c r="Z164" i="3"/>
  <c r="D97" i="5"/>
  <c r="I115" i="3"/>
  <c r="X143" i="3"/>
  <c r="I168" i="3"/>
  <c r="X170" i="3"/>
  <c r="I206" i="3"/>
  <c r="I110" i="3"/>
  <c r="X165" i="3"/>
  <c r="I201" i="3"/>
  <c r="X138" i="3"/>
  <c r="I163" i="3"/>
  <c r="X141" i="3"/>
  <c r="I166" i="3"/>
  <c r="I113" i="3"/>
  <c r="X168" i="3"/>
  <c r="I204" i="3"/>
  <c r="AC127" i="3"/>
  <c r="B92" i="5"/>
  <c r="Q180" i="3"/>
  <c r="Q153" i="3"/>
  <c r="AC131" i="3"/>
  <c r="B96" i="5"/>
  <c r="Q157" i="3"/>
  <c r="Q184" i="3"/>
  <c r="AC129" i="3"/>
  <c r="B94" i="5"/>
  <c r="Q155" i="3"/>
  <c r="Q182" i="3"/>
  <c r="E169" i="3"/>
  <c r="G89" i="5"/>
  <c r="V150" i="3"/>
  <c r="V177" i="3"/>
  <c r="G91" i="5"/>
  <c r="V152" i="3"/>
  <c r="V179" i="3"/>
  <c r="M96" i="5"/>
  <c r="AB157" i="3"/>
  <c r="M169" i="3"/>
  <c r="AB184" i="3"/>
  <c r="M207" i="3"/>
  <c r="AB154" i="3"/>
  <c r="M166" i="3"/>
  <c r="M93" i="5"/>
  <c r="AB181" i="3"/>
  <c r="M204" i="3"/>
  <c r="L115" i="3"/>
  <c r="AA143" i="3"/>
  <c r="AA170" i="3"/>
  <c r="AA144" i="3"/>
  <c r="L116" i="3"/>
  <c r="AA171" i="3"/>
  <c r="M116" i="3"/>
  <c r="T158" i="3"/>
  <c r="E162" i="3"/>
  <c r="AA154" i="3"/>
  <c r="L93" i="5"/>
  <c r="AA181" i="3"/>
  <c r="L94" i="5"/>
  <c r="AA155" i="3"/>
  <c r="AA182" i="3"/>
  <c r="AA132" i="3"/>
  <c r="L87" i="5"/>
  <c r="AA175" i="3"/>
  <c r="AA148" i="3"/>
  <c r="E167" i="3"/>
  <c r="E200" i="3"/>
  <c r="K92" i="5"/>
  <c r="Z180" i="3"/>
  <c r="Z153" i="3"/>
  <c r="K90" i="5"/>
  <c r="Z151" i="3"/>
  <c r="Z178" i="3"/>
  <c r="K91" i="5"/>
  <c r="Z179" i="3"/>
  <c r="Z152" i="3"/>
  <c r="Q137" i="3"/>
  <c r="AC111" i="3"/>
  <c r="B109" i="3"/>
  <c r="Q164" i="3"/>
  <c r="B116" i="3"/>
  <c r="AC118" i="3"/>
  <c r="Q171" i="3"/>
  <c r="Q144" i="3"/>
  <c r="G115" i="3"/>
  <c r="V170" i="3"/>
  <c r="V143" i="3"/>
  <c r="G112" i="3"/>
  <c r="V167" i="3"/>
  <c r="V140" i="3"/>
  <c r="G114" i="3"/>
  <c r="V169" i="3"/>
  <c r="V142" i="3"/>
  <c r="C110" i="3"/>
  <c r="R138" i="3"/>
  <c r="R165" i="3"/>
  <c r="C116" i="3"/>
  <c r="R171" i="3"/>
  <c r="R144" i="3"/>
  <c r="H95" i="5"/>
  <c r="W183" i="3"/>
  <c r="W156" i="3"/>
  <c r="H94" i="5"/>
  <c r="W182" i="3"/>
  <c r="W155" i="3"/>
  <c r="H90" i="5"/>
  <c r="W151" i="3"/>
  <c r="W178" i="3"/>
  <c r="U154" i="3"/>
  <c r="F93" i="5"/>
  <c r="U181" i="3"/>
  <c r="F94" i="5"/>
  <c r="U182" i="3"/>
  <c r="U155" i="3"/>
  <c r="E202" i="3"/>
  <c r="E161" i="3"/>
  <c r="E204" i="3"/>
  <c r="W138" i="3"/>
  <c r="H110" i="3"/>
  <c r="W165" i="3"/>
  <c r="W139" i="3"/>
  <c r="H111" i="3"/>
  <c r="W166" i="3"/>
  <c r="W136" i="3"/>
  <c r="H108" i="3"/>
  <c r="W163" i="3"/>
  <c r="C96" i="5"/>
  <c r="R184" i="3"/>
  <c r="R157" i="3"/>
  <c r="R132" i="3"/>
  <c r="C87" i="5"/>
  <c r="R148" i="3"/>
  <c r="R175" i="3"/>
  <c r="M113" i="3"/>
  <c r="E199" i="3"/>
  <c r="U144" i="3"/>
  <c r="F116" i="3"/>
  <c r="U171" i="3"/>
  <c r="F109" i="3"/>
  <c r="U164" i="3"/>
  <c r="U137" i="3"/>
  <c r="F202" i="5"/>
  <c r="B202" i="5"/>
  <c r="C202" i="5"/>
  <c r="D109" i="3"/>
  <c r="S164" i="3"/>
  <c r="D200" i="3"/>
  <c r="S137" i="3"/>
  <c r="D162" i="3"/>
  <c r="S139" i="3"/>
  <c r="D164" i="3"/>
  <c r="D111" i="3"/>
  <c r="S166" i="3"/>
  <c r="D202" i="3"/>
  <c r="J95" i="5"/>
  <c r="Y183" i="3"/>
  <c r="J206" i="3"/>
  <c r="Y156" i="3"/>
  <c r="J168" i="3"/>
  <c r="K115" i="3"/>
  <c r="Z170" i="3"/>
  <c r="Z143" i="3"/>
  <c r="K108" i="3"/>
  <c r="Z163" i="3"/>
  <c r="Z136" i="3"/>
  <c r="X140" i="3"/>
  <c r="I165" i="3"/>
  <c r="I112" i="3"/>
  <c r="X167" i="3"/>
  <c r="I203" i="3"/>
  <c r="AC128" i="3"/>
  <c r="B93" i="5"/>
  <c r="Q181" i="3"/>
  <c r="Q154" i="3"/>
  <c r="V176" i="3"/>
  <c r="G88" i="5"/>
  <c r="V149" i="3"/>
  <c r="G92" i="5"/>
  <c r="V180" i="3"/>
  <c r="V153" i="3"/>
  <c r="M94" i="5"/>
  <c r="AB182" i="3"/>
  <c r="M205" i="3"/>
  <c r="AB155" i="3"/>
  <c r="M167" i="3"/>
  <c r="L109" i="3"/>
  <c r="AA164" i="3"/>
  <c r="AA137" i="3"/>
  <c r="AA136" i="3"/>
  <c r="L108" i="3"/>
  <c r="AA163" i="3"/>
  <c r="L96" i="5"/>
  <c r="AA157" i="3"/>
  <c r="AA184" i="3"/>
  <c r="B111" i="3"/>
  <c r="AC113" i="3"/>
  <c r="Q139" i="3"/>
  <c r="Q166" i="3"/>
  <c r="G111" i="3"/>
  <c r="V139" i="3"/>
  <c r="V166" i="3"/>
  <c r="C111" i="3"/>
  <c r="R139" i="3"/>
  <c r="R166" i="3"/>
  <c r="W177" i="3"/>
  <c r="H89" i="5"/>
  <c r="W150" i="3"/>
  <c r="U177" i="3"/>
  <c r="F89" i="5"/>
  <c r="U150" i="3"/>
  <c r="F92" i="5"/>
  <c r="U180" i="3"/>
  <c r="U153" i="3"/>
  <c r="H114" i="3"/>
  <c r="W169" i="3"/>
  <c r="W142" i="3"/>
  <c r="X185" i="3"/>
  <c r="R154" i="3"/>
  <c r="C93" i="5"/>
  <c r="R181" i="3"/>
  <c r="M202" i="5"/>
  <c r="D114" i="3"/>
  <c r="S169" i="3"/>
  <c r="D205" i="3"/>
  <c r="S142" i="3"/>
  <c r="D167" i="3"/>
  <c r="J107" i="3"/>
  <c r="J90" i="5"/>
  <c r="Y178" i="3"/>
  <c r="J201" i="3"/>
  <c r="Y151" i="3"/>
  <c r="J163" i="3"/>
  <c r="J92" i="5"/>
  <c r="Y180" i="3"/>
  <c r="J203" i="3"/>
  <c r="Y153" i="3"/>
  <c r="J165" i="3"/>
  <c r="AB172" i="3"/>
  <c r="M177" i="3"/>
  <c r="M30" i="3"/>
  <c r="B218" i="3"/>
  <c r="L14" i="3"/>
  <c r="B165" i="5"/>
  <c r="Z141" i="3"/>
  <c r="K113" i="3"/>
  <c r="Z168" i="3"/>
  <c r="I108" i="3"/>
  <c r="X163" i="3"/>
  <c r="I199" i="3"/>
  <c r="X136" i="3"/>
  <c r="I161" i="3"/>
  <c r="Q177" i="3"/>
  <c r="AC124" i="3"/>
  <c r="B89" i="5"/>
  <c r="Q150" i="3"/>
  <c r="G95" i="5"/>
  <c r="V156" i="3"/>
  <c r="V183" i="3"/>
  <c r="AB132" i="3"/>
  <c r="M87" i="5"/>
  <c r="AB175" i="3"/>
  <c r="AB148" i="3"/>
  <c r="D112" i="3"/>
  <c r="S167" i="3"/>
  <c r="D203" i="3"/>
  <c r="S140" i="3"/>
  <c r="D165" i="3"/>
  <c r="D115" i="3"/>
  <c r="S143" i="3"/>
  <c r="D168" i="3"/>
  <c r="S170" i="3"/>
  <c r="D206" i="3"/>
  <c r="Y172" i="3"/>
  <c r="J177" i="3"/>
  <c r="J30" i="3"/>
  <c r="Y154" i="3"/>
  <c r="J166" i="3"/>
  <c r="J93" i="5"/>
  <c r="Y181" i="3"/>
  <c r="J204" i="3"/>
  <c r="Y177" i="3"/>
  <c r="J200" i="3"/>
  <c r="J89" i="5"/>
  <c r="Y150" i="3"/>
  <c r="J162" i="3"/>
  <c r="J91" i="5"/>
  <c r="Y179" i="3"/>
  <c r="J202" i="3"/>
  <c r="Y152" i="3"/>
  <c r="J164" i="3"/>
  <c r="M233" i="5"/>
  <c r="M234" i="5"/>
  <c r="K116" i="3"/>
  <c r="Z171" i="3"/>
  <c r="Z144" i="3"/>
  <c r="K111" i="3"/>
  <c r="Z166" i="3"/>
  <c r="Z139" i="3"/>
  <c r="Z135" i="3"/>
  <c r="Z119" i="3"/>
  <c r="K107" i="3"/>
  <c r="Z162" i="3"/>
  <c r="X135" i="3"/>
  <c r="I160" i="3"/>
  <c r="I107" i="3"/>
  <c r="X119" i="3"/>
  <c r="X162" i="3"/>
  <c r="X144" i="3"/>
  <c r="I169" i="3"/>
  <c r="I116" i="3"/>
  <c r="X171" i="3"/>
  <c r="I207" i="3"/>
  <c r="X137" i="3"/>
  <c r="I162" i="3"/>
  <c r="I109" i="3"/>
  <c r="X164" i="3"/>
  <c r="I200" i="3"/>
  <c r="AC122" i="3"/>
  <c r="Q132" i="3"/>
  <c r="B87" i="5"/>
  <c r="Q175" i="3"/>
  <c r="Q148" i="3"/>
  <c r="AC126" i="3"/>
  <c r="B91" i="5"/>
  <c r="Q179" i="3"/>
  <c r="Q152" i="3"/>
  <c r="AC125" i="3"/>
  <c r="B90" i="5"/>
  <c r="Q151" i="3"/>
  <c r="Q178" i="3"/>
  <c r="V154" i="3"/>
  <c r="G93" i="5"/>
  <c r="V181" i="3"/>
  <c r="V132" i="3"/>
  <c r="G87" i="5"/>
  <c r="V175" i="3"/>
  <c r="V148" i="3"/>
  <c r="M88" i="5"/>
  <c r="AB149" i="3"/>
  <c r="M161" i="3"/>
  <c r="AB176" i="3"/>
  <c r="M199" i="3"/>
  <c r="M89" i="5"/>
  <c r="AB150" i="3"/>
  <c r="M162" i="3"/>
  <c r="AB177" i="3"/>
  <c r="M200" i="3"/>
  <c r="L114" i="3"/>
  <c r="AA142" i="3"/>
  <c r="AA169" i="3"/>
  <c r="AA141" i="3"/>
  <c r="L113" i="3"/>
  <c r="AA168" i="3"/>
  <c r="L112" i="3"/>
  <c r="AA140" i="3"/>
  <c r="AA167" i="3"/>
  <c r="M115" i="3"/>
  <c r="E97" i="5"/>
  <c r="L88" i="5"/>
  <c r="AA176" i="3"/>
  <c r="AA149" i="3"/>
  <c r="L89" i="5"/>
  <c r="AA150" i="3"/>
  <c r="AA177" i="3"/>
  <c r="E117" i="3"/>
  <c r="Z154" i="3"/>
  <c r="K93" i="5"/>
  <c r="Z181" i="3"/>
  <c r="K94" i="5"/>
  <c r="Z182" i="3"/>
  <c r="Z155" i="3"/>
  <c r="Z132" i="3"/>
  <c r="K87" i="5"/>
  <c r="Z175" i="3"/>
  <c r="Z148" i="3"/>
  <c r="AC112" i="3"/>
  <c r="B110" i="3"/>
  <c r="Q165" i="3"/>
  <c r="Q138" i="3"/>
  <c r="B115" i="3"/>
  <c r="AC117" i="3"/>
  <c r="Q170" i="3"/>
  <c r="Q143" i="3"/>
  <c r="B112" i="3"/>
  <c r="AC114" i="3"/>
  <c r="Q167" i="3"/>
  <c r="Q140" i="3"/>
  <c r="G108" i="3"/>
  <c r="V163" i="3"/>
  <c r="V136" i="3"/>
  <c r="G110" i="3"/>
  <c r="V165" i="3"/>
  <c r="V138" i="3"/>
  <c r="M110" i="3"/>
  <c r="M111" i="3"/>
  <c r="E201" i="3"/>
  <c r="C113" i="3"/>
  <c r="R141" i="3"/>
  <c r="R168" i="3"/>
  <c r="C115" i="3"/>
  <c r="R170" i="3"/>
  <c r="R143" i="3"/>
  <c r="C112" i="3"/>
  <c r="R167" i="3"/>
  <c r="R140" i="3"/>
  <c r="W184" i="3"/>
  <c r="H96" i="5"/>
  <c r="W157" i="3"/>
  <c r="W152" i="3"/>
  <c r="H91" i="5"/>
  <c r="W179" i="3"/>
  <c r="U157" i="3"/>
  <c r="F96" i="5"/>
  <c r="U184" i="3"/>
  <c r="F95" i="5"/>
  <c r="U183" i="3"/>
  <c r="U156" i="3"/>
  <c r="F91" i="5"/>
  <c r="U179" i="3"/>
  <c r="U152" i="3"/>
  <c r="E164" i="3"/>
  <c r="W119" i="3"/>
  <c r="H107" i="3"/>
  <c r="W162" i="3"/>
  <c r="W135" i="3"/>
  <c r="W141" i="3"/>
  <c r="H113" i="3"/>
  <c r="W168" i="3"/>
  <c r="X158" i="3"/>
  <c r="C92" i="5"/>
  <c r="R153" i="3"/>
  <c r="R180" i="3"/>
  <c r="R176" i="3"/>
  <c r="C88" i="5"/>
  <c r="R149" i="3"/>
  <c r="C94" i="5"/>
  <c r="R182" i="3"/>
  <c r="R155" i="3"/>
  <c r="M108" i="3"/>
  <c r="E203" i="3"/>
  <c r="F111" i="3"/>
  <c r="U166" i="3"/>
  <c r="U139" i="3"/>
  <c r="F112" i="3"/>
  <c r="U167" i="3"/>
  <c r="U140" i="3"/>
  <c r="F114" i="3"/>
  <c r="U169" i="3"/>
  <c r="U142" i="3"/>
  <c r="G202" i="5"/>
  <c r="J202" i="5"/>
  <c r="H202" i="5"/>
  <c r="K201" i="3"/>
  <c r="K206" i="3"/>
  <c r="K168" i="3"/>
  <c r="L167" i="3"/>
  <c r="L207" i="3"/>
  <c r="K164" i="3"/>
  <c r="G166" i="3"/>
  <c r="H166" i="3"/>
  <c r="K202" i="3"/>
  <c r="H199" i="3"/>
  <c r="G199" i="3"/>
  <c r="C164" i="3"/>
  <c r="G163" i="3"/>
  <c r="J117" i="3"/>
  <c r="G162" i="3"/>
  <c r="I170" i="3"/>
  <c r="I127" i="3"/>
  <c r="I29" i="3"/>
  <c r="G97" i="5"/>
  <c r="AC132" i="3"/>
  <c r="I117" i="3"/>
  <c r="K117" i="3"/>
  <c r="F167" i="3"/>
  <c r="L204" i="3"/>
  <c r="L205" i="3"/>
  <c r="K169" i="3"/>
  <c r="L199" i="3"/>
  <c r="K200" i="3"/>
  <c r="C162" i="3"/>
  <c r="F161" i="3"/>
  <c r="K166" i="3"/>
  <c r="K161" i="3"/>
  <c r="H162" i="3"/>
  <c r="G204" i="3"/>
  <c r="C163" i="3"/>
  <c r="F169" i="3"/>
  <c r="L169" i="3"/>
  <c r="G169" i="3"/>
  <c r="L201" i="3"/>
  <c r="L206" i="3"/>
  <c r="L163" i="3"/>
  <c r="F166" i="3"/>
  <c r="K162" i="3"/>
  <c r="F163" i="3"/>
  <c r="H169" i="3"/>
  <c r="F165" i="3"/>
  <c r="F164" i="3"/>
  <c r="C168" i="3"/>
  <c r="C204" i="3"/>
  <c r="H205" i="3"/>
  <c r="F203" i="3"/>
  <c r="C202" i="3"/>
  <c r="G202" i="3"/>
  <c r="L200" i="3"/>
  <c r="G203" i="3"/>
  <c r="H163" i="3"/>
  <c r="C169" i="3"/>
  <c r="K205" i="3"/>
  <c r="H165" i="3"/>
  <c r="C167" i="3"/>
  <c r="K203" i="3"/>
  <c r="AC181" i="3"/>
  <c r="H204" i="3"/>
  <c r="F205" i="3"/>
  <c r="M117" i="3"/>
  <c r="C161" i="3"/>
  <c r="K204" i="3"/>
  <c r="C166" i="3"/>
  <c r="G164" i="3"/>
  <c r="H201" i="3"/>
  <c r="C207" i="3"/>
  <c r="AC184" i="3"/>
  <c r="AC153" i="3"/>
  <c r="E229" i="5"/>
  <c r="E228" i="5"/>
  <c r="AC166" i="3"/>
  <c r="B202" i="3"/>
  <c r="AA158" i="3"/>
  <c r="R172" i="3"/>
  <c r="C177" i="3"/>
  <c r="C30" i="3"/>
  <c r="C198" i="3"/>
  <c r="G200" i="3"/>
  <c r="V172" i="3"/>
  <c r="G177" i="3"/>
  <c r="G30" i="3"/>
  <c r="G198" i="3"/>
  <c r="N113" i="3"/>
  <c r="E208" i="3"/>
  <c r="L117" i="3"/>
  <c r="D160" i="3"/>
  <c r="D170" i="3"/>
  <c r="D127" i="3"/>
  <c r="D29" i="3"/>
  <c r="S145" i="3"/>
  <c r="F97" i="5"/>
  <c r="C199" i="3"/>
  <c r="N114" i="3"/>
  <c r="V158" i="3"/>
  <c r="AC148" i="3"/>
  <c r="Y158" i="3"/>
  <c r="H233" i="5"/>
  <c r="H234" i="5"/>
  <c r="B165" i="3"/>
  <c r="AC140" i="3"/>
  <c r="N115" i="3"/>
  <c r="Z185" i="3"/>
  <c r="L165" i="3"/>
  <c r="AC178" i="3"/>
  <c r="AB185" i="3"/>
  <c r="B164" i="3"/>
  <c r="AC139" i="3"/>
  <c r="H202" i="3"/>
  <c r="N116" i="3"/>
  <c r="B203" i="3"/>
  <c r="AC180" i="3"/>
  <c r="F117" i="3"/>
  <c r="H168" i="3"/>
  <c r="G117" i="3"/>
  <c r="N107" i="3"/>
  <c r="B117" i="3"/>
  <c r="L233" i="5"/>
  <c r="L234" i="5"/>
  <c r="AC149" i="3"/>
  <c r="H97" i="5"/>
  <c r="B161" i="3"/>
  <c r="AC136" i="3"/>
  <c r="F202" i="3"/>
  <c r="W172" i="3"/>
  <c r="H177" i="3"/>
  <c r="H30" i="3"/>
  <c r="U158" i="3"/>
  <c r="C165" i="3"/>
  <c r="G201" i="3"/>
  <c r="Q145" i="3"/>
  <c r="AC143" i="3"/>
  <c r="B168" i="3"/>
  <c r="K97" i="5"/>
  <c r="L161" i="3"/>
  <c r="AC151" i="3"/>
  <c r="B198" i="3"/>
  <c r="AC175" i="3"/>
  <c r="Q185" i="3"/>
  <c r="I198" i="3"/>
  <c r="I208" i="3"/>
  <c r="X172" i="3"/>
  <c r="I177" i="3"/>
  <c r="I30" i="3"/>
  <c r="K160" i="3"/>
  <c r="Z145" i="3"/>
  <c r="C216" i="5"/>
  <c r="C220" i="5"/>
  <c r="H117" i="3"/>
  <c r="C203" i="3"/>
  <c r="C206" i="3"/>
  <c r="AC170" i="3"/>
  <c r="AC138" i="3"/>
  <c r="B163" i="3"/>
  <c r="L166" i="3"/>
  <c r="V185" i="3"/>
  <c r="B97" i="5"/>
  <c r="K198" i="3"/>
  <c r="Z172" i="3"/>
  <c r="K177" i="3"/>
  <c r="K30" i="3"/>
  <c r="K233" i="5"/>
  <c r="K234" i="5"/>
  <c r="AC150" i="3"/>
  <c r="M198" i="3"/>
  <c r="M208" i="3"/>
  <c r="H167" i="3"/>
  <c r="N111" i="3"/>
  <c r="E233" i="5"/>
  <c r="E234" i="5"/>
  <c r="AC154" i="3"/>
  <c r="N202" i="5"/>
  <c r="F162" i="3"/>
  <c r="F207" i="3"/>
  <c r="H164" i="3"/>
  <c r="G205" i="3"/>
  <c r="G206" i="3"/>
  <c r="B207" i="3"/>
  <c r="AC171" i="3"/>
  <c r="AC164" i="3"/>
  <c r="AC137" i="3"/>
  <c r="B162" i="3"/>
  <c r="L168" i="3"/>
  <c r="K167" i="3"/>
  <c r="J160" i="3"/>
  <c r="J170" i="3"/>
  <c r="J127" i="3"/>
  <c r="J29" i="3"/>
  <c r="F160" i="3"/>
  <c r="U145" i="3"/>
  <c r="C233" i="5"/>
  <c r="C234" i="5"/>
  <c r="G160" i="3"/>
  <c r="V145" i="3"/>
  <c r="B233" i="5"/>
  <c r="AC168" i="3"/>
  <c r="B204" i="3"/>
  <c r="E170" i="3"/>
  <c r="E127" i="3"/>
  <c r="E29" i="3"/>
  <c r="AA172" i="3"/>
  <c r="L177" i="3"/>
  <c r="L30" i="3"/>
  <c r="K163" i="3"/>
  <c r="D198" i="3"/>
  <c r="D208" i="3"/>
  <c r="S172" i="3"/>
  <c r="D177" i="3"/>
  <c r="D30" i="3"/>
  <c r="D233" i="5"/>
  <c r="D234" i="5"/>
  <c r="F206" i="3"/>
  <c r="R158" i="3"/>
  <c r="H200" i="3"/>
  <c r="H207" i="3"/>
  <c r="H198" i="3"/>
  <c r="W185" i="3"/>
  <c r="C200" i="3"/>
  <c r="B167" i="3"/>
  <c r="AC142" i="3"/>
  <c r="K199" i="3"/>
  <c r="Q158" i="3"/>
  <c r="AC156" i="3"/>
  <c r="K165" i="3"/>
  <c r="N112" i="3"/>
  <c r="B201" i="3"/>
  <c r="AC165" i="3"/>
  <c r="M160" i="3"/>
  <c r="M170" i="3"/>
  <c r="M127" i="3"/>
  <c r="M29" i="3"/>
  <c r="AB158" i="3"/>
  <c r="F200" i="3"/>
  <c r="C97" i="5"/>
  <c r="N109" i="3"/>
  <c r="AC182" i="3"/>
  <c r="C160" i="3"/>
  <c r="R145" i="3"/>
  <c r="Z158" i="3"/>
  <c r="C201" i="3"/>
  <c r="W158" i="3"/>
  <c r="N108" i="3"/>
  <c r="B206" i="3"/>
  <c r="AC183" i="3"/>
  <c r="H160" i="3"/>
  <c r="W145" i="3"/>
  <c r="G161" i="3"/>
  <c r="N110" i="3"/>
  <c r="AC152" i="3"/>
  <c r="K207" i="3"/>
  <c r="L162" i="3"/>
  <c r="N197" i="5"/>
  <c r="L198" i="3"/>
  <c r="AA185" i="3"/>
  <c r="AC155" i="3"/>
  <c r="C117" i="3"/>
  <c r="G207" i="3"/>
  <c r="Q172" i="3"/>
  <c r="B177" i="3"/>
  <c r="AC162" i="3"/>
  <c r="L203" i="3"/>
  <c r="L164" i="3"/>
  <c r="D117" i="3"/>
  <c r="J198" i="3"/>
  <c r="J208" i="3"/>
  <c r="Y185" i="3"/>
  <c r="AC167" i="3"/>
  <c r="AC179" i="3"/>
  <c r="X145" i="3"/>
  <c r="M97" i="5"/>
  <c r="B200" i="3"/>
  <c r="AC177" i="3"/>
  <c r="R185" i="3"/>
  <c r="G167" i="3"/>
  <c r="G165" i="3"/>
  <c r="G168" i="3"/>
  <c r="B169" i="3"/>
  <c r="AC144" i="3"/>
  <c r="L97" i="5"/>
  <c r="F204" i="3"/>
  <c r="U172" i="3"/>
  <c r="F177" i="3"/>
  <c r="F30" i="3"/>
  <c r="F233" i="5"/>
  <c r="F234" i="5"/>
  <c r="H206" i="3"/>
  <c r="H161" i="3"/>
  <c r="C205" i="3"/>
  <c r="AC119" i="3"/>
  <c r="AC135" i="3"/>
  <c r="B160" i="3"/>
  <c r="B166" i="3"/>
  <c r="AC141" i="3"/>
  <c r="L202" i="3"/>
  <c r="L160" i="3"/>
  <c r="AA145" i="3"/>
  <c r="AC157" i="3"/>
  <c r="AC176" i="3"/>
  <c r="F201" i="3"/>
  <c r="F199" i="3"/>
  <c r="F168" i="3"/>
  <c r="F198" i="3"/>
  <c r="U185" i="3"/>
  <c r="AC163" i="3"/>
  <c r="B199" i="3"/>
  <c r="B205" i="3"/>
  <c r="AC169" i="3"/>
  <c r="J97" i="5"/>
  <c r="N169" i="3"/>
  <c r="N200" i="3"/>
  <c r="I233" i="5"/>
  <c r="I234" i="5"/>
  <c r="J228" i="5"/>
  <c r="D228" i="5"/>
  <c r="N204" i="3"/>
  <c r="L170" i="3"/>
  <c r="L127" i="3"/>
  <c r="L29" i="3"/>
  <c r="K170" i="3"/>
  <c r="K127" i="3"/>
  <c r="K29" i="3"/>
  <c r="N202" i="3"/>
  <c r="N205" i="3"/>
  <c r="C170" i="3"/>
  <c r="C127" i="3"/>
  <c r="C29" i="3"/>
  <c r="N167" i="3"/>
  <c r="N199" i="3"/>
  <c r="F228" i="5"/>
  <c r="G233" i="5"/>
  <c r="G234" i="5"/>
  <c r="J170" i="5"/>
  <c r="I228" i="5"/>
  <c r="N160" i="3"/>
  <c r="B30" i="3"/>
  <c r="N177" i="3"/>
  <c r="N30" i="3"/>
  <c r="N201" i="3"/>
  <c r="B234" i="5"/>
  <c r="N233" i="5"/>
  <c r="AC185" i="3"/>
  <c r="M228" i="5"/>
  <c r="AC158" i="3"/>
  <c r="F208" i="3"/>
  <c r="AC145" i="3"/>
  <c r="G170" i="3"/>
  <c r="G127" i="3"/>
  <c r="G29" i="3"/>
  <c r="L208" i="3"/>
  <c r="N198" i="3"/>
  <c r="B208" i="3"/>
  <c r="B170" i="3"/>
  <c r="B127" i="3"/>
  <c r="N168" i="3"/>
  <c r="K208" i="3"/>
  <c r="N163" i="3"/>
  <c r="N161" i="3"/>
  <c r="N117" i="3"/>
  <c r="N203" i="3"/>
  <c r="N164" i="3"/>
  <c r="N165" i="3"/>
  <c r="C208" i="3"/>
  <c r="E170" i="5"/>
  <c r="E14" i="3"/>
  <c r="E16" i="3"/>
  <c r="B232" i="3"/>
  <c r="N206" i="3"/>
  <c r="E237" i="5"/>
  <c r="F170" i="3"/>
  <c r="F127" i="3"/>
  <c r="F29" i="3"/>
  <c r="N166" i="3"/>
  <c r="AC172" i="3"/>
  <c r="H170" i="3"/>
  <c r="H127" i="3"/>
  <c r="H29" i="3"/>
  <c r="H208" i="3"/>
  <c r="N162" i="3"/>
  <c r="N207" i="3"/>
  <c r="G208" i="3"/>
  <c r="J229" i="5"/>
  <c r="J237" i="5"/>
  <c r="D170" i="5"/>
  <c r="M170" i="5"/>
  <c r="N234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R243" i="5"/>
  <c r="S243" i="5"/>
  <c r="T243" i="5"/>
  <c r="U243" i="5"/>
  <c r="V243" i="5"/>
  <c r="W243" i="5"/>
  <c r="X243" i="5"/>
  <c r="Y243" i="5"/>
  <c r="Z243" i="5"/>
  <c r="AA243" i="5"/>
  <c r="AB243" i="5"/>
  <c r="AC243" i="5"/>
  <c r="AD243" i="5"/>
  <c r="E208" i="5"/>
  <c r="B228" i="5"/>
  <c r="N191" i="5"/>
  <c r="B29" i="3"/>
  <c r="N127" i="3"/>
  <c r="N29" i="3"/>
  <c r="M229" i="5"/>
  <c r="M237" i="5"/>
  <c r="N170" i="3"/>
  <c r="H228" i="5"/>
  <c r="G228" i="5"/>
  <c r="I229" i="5"/>
  <c r="I237" i="5"/>
  <c r="L228" i="5"/>
  <c r="K228" i="5"/>
  <c r="C228" i="5"/>
  <c r="D229" i="5"/>
  <c r="D237" i="5"/>
  <c r="N208" i="3"/>
  <c r="I170" i="5"/>
  <c r="F170" i="5"/>
  <c r="C170" i="5"/>
  <c r="F229" i="5"/>
  <c r="F237" i="5"/>
  <c r="K170" i="5"/>
  <c r="C229" i="5"/>
  <c r="C237" i="5"/>
  <c r="G170" i="5"/>
  <c r="H229" i="5"/>
  <c r="H237" i="5"/>
  <c r="B229" i="5"/>
  <c r="B237" i="5"/>
  <c r="N198" i="5"/>
  <c r="N229" i="5"/>
  <c r="L229" i="5"/>
  <c r="L237" i="5"/>
  <c r="G229" i="5"/>
  <c r="G237" i="5"/>
  <c r="F208" i="5"/>
  <c r="K229" i="5"/>
  <c r="K237" i="5"/>
  <c r="H170" i="5"/>
  <c r="B243" i="5"/>
  <c r="N228" i="5"/>
  <c r="B170" i="5"/>
  <c r="L170" i="5"/>
  <c r="N170" i="5"/>
  <c r="L15" i="3"/>
  <c r="L16" i="3"/>
  <c r="E242" i="5"/>
  <c r="N237" i="5"/>
  <c r="G208" i="5"/>
  <c r="E245" i="5"/>
  <c r="E244" i="5"/>
  <c r="C14" i="3"/>
  <c r="B233" i="3"/>
  <c r="E246" i="5"/>
  <c r="F242" i="5"/>
  <c r="D244" i="5"/>
  <c r="B244" i="5"/>
  <c r="D245" i="5"/>
  <c r="B245" i="5"/>
  <c r="G21" i="3"/>
  <c r="B227" i="3"/>
  <c r="D216" i="5"/>
  <c r="D220" i="5"/>
  <c r="H208" i="5"/>
  <c r="E216" i="5"/>
  <c r="E220" i="5"/>
  <c r="F246" i="5"/>
  <c r="G242" i="5"/>
  <c r="F14" i="3"/>
  <c r="C16" i="3"/>
  <c r="F16" i="3"/>
  <c r="I208" i="5"/>
  <c r="H242" i="5"/>
  <c r="G246" i="5"/>
  <c r="J208" i="5"/>
  <c r="F216" i="5"/>
  <c r="F220" i="5"/>
  <c r="G216" i="5"/>
  <c r="G220" i="5"/>
  <c r="I242" i="5"/>
  <c r="H246" i="5"/>
  <c r="K208" i="5"/>
  <c r="L208" i="5"/>
  <c r="I246" i="5"/>
  <c r="J242" i="5"/>
  <c r="H216" i="5"/>
  <c r="H220" i="5"/>
  <c r="J246" i="5"/>
  <c r="K242" i="5"/>
  <c r="M208" i="5"/>
  <c r="I216" i="5"/>
  <c r="I220" i="5"/>
  <c r="J216" i="5"/>
  <c r="J220" i="5"/>
  <c r="N208" i="5"/>
  <c r="L242" i="5"/>
  <c r="K246" i="5"/>
  <c r="O208" i="5"/>
  <c r="L246" i="5"/>
  <c r="M242" i="5"/>
  <c r="K216" i="5"/>
  <c r="K220" i="5"/>
  <c r="P208" i="5"/>
  <c r="L216" i="5"/>
  <c r="L220" i="5"/>
  <c r="N242" i="5"/>
  <c r="M246" i="5"/>
  <c r="N246" i="5"/>
  <c r="O242" i="5"/>
  <c r="M216" i="5"/>
  <c r="M220" i="5"/>
  <c r="Q208" i="5"/>
  <c r="N216" i="5"/>
  <c r="N220" i="5"/>
  <c r="P242" i="5"/>
  <c r="O246" i="5"/>
  <c r="R208" i="5"/>
  <c r="Q242" i="5"/>
  <c r="P246" i="5"/>
  <c r="S208" i="5"/>
  <c r="O216" i="5"/>
  <c r="O220" i="5"/>
  <c r="T208" i="5"/>
  <c r="Q246" i="5"/>
  <c r="R242" i="5"/>
  <c r="P216" i="5"/>
  <c r="P220" i="5"/>
  <c r="U208" i="5"/>
  <c r="Q216" i="5"/>
  <c r="Q220" i="5"/>
  <c r="R246" i="5"/>
  <c r="S242" i="5"/>
  <c r="V208" i="5"/>
  <c r="S246" i="5"/>
  <c r="T242" i="5"/>
  <c r="R216" i="5"/>
  <c r="R220" i="5"/>
  <c r="T246" i="5"/>
  <c r="U242" i="5"/>
  <c r="S216" i="5"/>
  <c r="S220" i="5"/>
  <c r="W208" i="5"/>
  <c r="U246" i="5"/>
  <c r="V242" i="5"/>
  <c r="X208" i="5"/>
  <c r="T216" i="5"/>
  <c r="T220" i="5"/>
  <c r="Y208" i="5"/>
  <c r="U216" i="5"/>
  <c r="U220" i="5"/>
  <c r="W242" i="5"/>
  <c r="V246" i="5"/>
  <c r="Z208" i="5"/>
  <c r="V216" i="5"/>
  <c r="V220" i="5"/>
  <c r="X242" i="5"/>
  <c r="W246" i="5"/>
  <c r="Y242" i="5"/>
  <c r="X246" i="5"/>
  <c r="AA208" i="5"/>
  <c r="W216" i="5"/>
  <c r="W220" i="5"/>
  <c r="Z242" i="5"/>
  <c r="Y246" i="5"/>
  <c r="X216" i="5"/>
  <c r="X220" i="5"/>
  <c r="AB208" i="5"/>
  <c r="AC208" i="5"/>
  <c r="Z246" i="5"/>
  <c r="AA242" i="5"/>
  <c r="Y216" i="5"/>
  <c r="Y220" i="5"/>
  <c r="Z216" i="5"/>
  <c r="Z220" i="5"/>
  <c r="AB242" i="5"/>
  <c r="AA246" i="5"/>
  <c r="B21" i="3"/>
  <c r="AB246" i="5"/>
  <c r="AC242" i="5"/>
  <c r="B242" i="5"/>
  <c r="AA216" i="5"/>
  <c r="AA220" i="5"/>
  <c r="AC216" i="5"/>
  <c r="AC220" i="5"/>
  <c r="AB216" i="5"/>
  <c r="AB220" i="5"/>
  <c r="B246" i="5"/>
  <c r="G22" i="3"/>
  <c r="G20" i="3"/>
  <c r="AC246" i="5"/>
  <c r="AD242" i="5"/>
  <c r="AD246" i="5"/>
  <c r="B222" i="5"/>
  <c r="B24" i="3"/>
  <c r="B20" i="3"/>
</calcChain>
</file>

<file path=xl/comments1.xml><?xml version="1.0" encoding="utf-8"?>
<comments xmlns="http://schemas.openxmlformats.org/spreadsheetml/2006/main">
  <authors>
    <author>Mikael Rosén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Mikael Rosén:</t>
        </r>
        <r>
          <rPr>
            <sz val="9"/>
            <color indexed="81"/>
            <rFont val="Tahoma"/>
            <family val="2"/>
          </rPr>
          <t xml:space="preserve">
Hämtas från miljövärdering elektricitet beroende på val av elmix.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Mikael Rosén:</t>
        </r>
        <r>
          <rPr>
            <sz val="9"/>
            <color indexed="81"/>
            <rFont val="Tahoma"/>
            <family val="2"/>
          </rPr>
          <t xml:space="preserve">
Hämtas från miljövärdering elektricitet beroende på val av elmix.</t>
        </r>
      </text>
    </comment>
  </commentList>
</comments>
</file>

<file path=xl/sharedStrings.xml><?xml version="1.0" encoding="utf-8"?>
<sst xmlns="http://schemas.openxmlformats.org/spreadsheetml/2006/main" count="1835" uniqueCount="418">
  <si>
    <t>INDATA</t>
  </si>
  <si>
    <t>Utvecklat av DEVCCO och SP Sveriges Tekniska Forskningsintitut</t>
  </si>
  <si>
    <t>UTDATA</t>
  </si>
  <si>
    <t>ÄNDRINGSBARA PARAMETRAR</t>
  </si>
  <si>
    <t>Nedanstående parametrar kan ändras.</t>
  </si>
  <si>
    <t>LÅSTA PARAMETRAR</t>
  </si>
  <si>
    <t>Bladet är skrivskyddat för att undvika att ändring sker</t>
  </si>
  <si>
    <t>INTERNA BERÄKNINGAR</t>
  </si>
  <si>
    <t>Nednastående beräkningar används internt för kalkyler</t>
  </si>
  <si>
    <t>ARBETSGÅNG:</t>
  </si>
  <si>
    <t>Utdata innehåller resultatet</t>
  </si>
  <si>
    <t xml:space="preserve">Ändringsbara parametrar kan anpassas efter lokalt behov, </t>
  </si>
  <si>
    <t>se flik "ÄNDRINGSBARA PARAMETRAR"</t>
  </si>
  <si>
    <t>Välj typ av byggnad:</t>
  </si>
  <si>
    <t>Förklarande text är kursiv</t>
  </si>
  <si>
    <t>(1-3)</t>
  </si>
  <si>
    <t>MWh/år</t>
  </si>
  <si>
    <t>Totalt värmebehov:</t>
  </si>
  <si>
    <t>FJÄRRVÄRMEPRODUKTION</t>
  </si>
  <si>
    <t>Typ av anläggning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</si>
  <si>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</si>
  <si>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</si>
  <si>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</si>
  <si>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</si>
  <si>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</si>
  <si>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</si>
  <si>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</si>
  <si>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</si>
  <si>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</si>
  <si>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</si>
  <si>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</si>
  <si>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</si>
  <si>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Indata markeras enligt cellen till höger</t>
  </si>
  <si>
    <t>input</t>
  </si>
  <si>
    <t>HVC EO1</t>
  </si>
  <si>
    <t>HVC bioolja</t>
  </si>
  <si>
    <t>HVC pellets</t>
  </si>
  <si>
    <t>KVV avfall</t>
  </si>
  <si>
    <t>KVV grot</t>
  </si>
  <si>
    <t>Spillvärme industri</t>
  </si>
  <si>
    <t>Valfri 3</t>
  </si>
  <si>
    <t>TOTALT</t>
  </si>
  <si>
    <t>KONTROLL</t>
  </si>
  <si>
    <t>EKONOMI</t>
  </si>
  <si>
    <t>Not: Gäller totalt miljöpåverkan per levererad MWh värme till fjärrvärmenätet</t>
  </si>
  <si>
    <t>Se dokumentation för mer info</t>
  </si>
  <si>
    <t>GWP (kg CO2-ekv/MWh tillfört bränsle)</t>
  </si>
  <si>
    <t xml:space="preserve">MILJÖVÄRDERING </t>
  </si>
  <si>
    <t>Välj typ av elektricitet till värmepump</t>
  </si>
  <si>
    <t>Bra miljöval (Sverige 2015)</t>
  </si>
  <si>
    <t>(1-4)</t>
  </si>
  <si>
    <t>För KVV ange totalverkningsgrad (el+fjärrvärme). Ev kondensdrift medtas ej</t>
  </si>
  <si>
    <t>Varmhållningsförluster fördelas proportionellt på de månader anläggningen producerar</t>
  </si>
  <si>
    <t>TOT</t>
  </si>
  <si>
    <t xml:space="preserve">Produktionsanläggningens totalverkningsgrad </t>
  </si>
  <si>
    <t>Produktionsanläggningens alfa-värde</t>
  </si>
  <si>
    <t>Elmix</t>
  </si>
  <si>
    <t>GWP</t>
  </si>
  <si>
    <t>PEF</t>
  </si>
  <si>
    <t>Miljövärdering elektricitet</t>
  </si>
  <si>
    <t>Välj allokeringsprincip för miljöpåverkan från kraftvärmeproduktion</t>
  </si>
  <si>
    <t>ALLOKERINGSPRINCIP miljöpåverkan KVV</t>
  </si>
  <si>
    <t>BYGGNADERNAS VÄRMEPROFILER</t>
  </si>
  <si>
    <t>TVV</t>
  </si>
  <si>
    <t>Byggnaden</t>
  </si>
  <si>
    <t>KOMFORT</t>
  </si>
  <si>
    <t>FJV-&gt;BYGGNAD</t>
  </si>
  <si>
    <t>FJV-&gt;LAGER</t>
  </si>
  <si>
    <t>FJV TOT</t>
  </si>
  <si>
    <t>Fjärrvärme</t>
  </si>
  <si>
    <t>FJV</t>
  </si>
  <si>
    <t>BYGGNAD</t>
  </si>
  <si>
    <t>FÖRLUST</t>
  </si>
  <si>
    <t>Lager</t>
  </si>
  <si>
    <t>RESULTAT FRÅN EED</t>
  </si>
  <si>
    <t>LAGERKOSTNADER</t>
  </si>
  <si>
    <t>Antal borrhål</t>
  </si>
  <si>
    <t>Avstånd</t>
  </si>
  <si>
    <t>Borrhålsdjup</t>
  </si>
  <si>
    <t>KOSTNADER FÖR LAGER</t>
  </si>
  <si>
    <t>Fast kostnad/hål</t>
  </si>
  <si>
    <t>Hålavstånd</t>
  </si>
  <si>
    <t>kr/m mellan hål, t.ex. markarbeten, rördragningar, etc</t>
  </si>
  <si>
    <t>kr/m borrhålsdjup, inkl kostnad för kollektorslang</t>
  </si>
  <si>
    <t>kr/st</t>
  </si>
  <si>
    <t>Lagerkostnad</t>
  </si>
  <si>
    <t>st</t>
  </si>
  <si>
    <t>m</t>
  </si>
  <si>
    <t>Mkr</t>
  </si>
  <si>
    <t xml:space="preserve"> Modern energieffektiv kontorsbyggnad</t>
  </si>
  <si>
    <t>(1400-2100 MWh/år tot värme)</t>
  </si>
  <si>
    <t>Förlust</t>
  </si>
  <si>
    <t>SAMMANFATTNING</t>
  </si>
  <si>
    <t>Nollalternativ</t>
  </si>
  <si>
    <t>Total årlig kostnad</t>
  </si>
  <si>
    <t>kr/år</t>
  </si>
  <si>
    <t>Värmebehov</t>
  </si>
  <si>
    <t>Typ av bebyggelse</t>
  </si>
  <si>
    <t>FJV in</t>
  </si>
  <si>
    <t>BYGGNAD ut</t>
  </si>
  <si>
    <t>DELTA</t>
  </si>
  <si>
    <t>Angiven byggnad</t>
  </si>
  <si>
    <t>Tot värmebehov</t>
  </si>
  <si>
    <t>Skillnad</t>
  </si>
  <si>
    <t>---</t>
  </si>
  <si>
    <t>Alternativ</t>
  </si>
  <si>
    <t>Allokeringsprincip:</t>
  </si>
  <si>
    <t>Nordisk medelelmix (2010-2015)</t>
  </si>
  <si>
    <t>Typ av elmix :</t>
  </si>
  <si>
    <t>MWh</t>
  </si>
  <si>
    <t>SYSTEMGRÄNSER</t>
  </si>
  <si>
    <t>ENERGIBALANS FJÄRRVÄRME (MWh)</t>
  </si>
  <si>
    <t>Lageralternativ</t>
  </si>
  <si>
    <t>Jämförelse med och utan lager</t>
  </si>
  <si>
    <t>Lageralternativet i detalj:</t>
  </si>
  <si>
    <t>FASTIGHETENS BEHOV</t>
  </si>
  <si>
    <t xml:space="preserve">ENERGIBALANS vid FASTIGHET (MWh) </t>
  </si>
  <si>
    <t>Tillkommande "fjärrvärmekostnader", ex separat servis mellan lager och byggnad(er), samt fjärrvärme och lager</t>
  </si>
  <si>
    <t>Fast kostnad</t>
  </si>
  <si>
    <t>kr/lager</t>
  </si>
  <si>
    <t xml:space="preserve">INVESTERINGAR </t>
  </si>
  <si>
    <t>Rörliga kostnader (årlig, kW och MWh)</t>
  </si>
  <si>
    <t>INVESTERINGAR</t>
  </si>
  <si>
    <t>år 0</t>
  </si>
  <si>
    <t>år -2</t>
  </si>
  <si>
    <t>ENERGIBALANS VID FASTIGHETSGRÄNS</t>
  </si>
  <si>
    <t>Uppvärmning:  Lagret värms upp fr.o.m maj år -2, t.o.m. september år 0 (3 sommarsäsonger)</t>
  </si>
  <si>
    <t>Värmeleverans: Påbörjas oktober år 0</t>
  </si>
  <si>
    <t>Lageraltarnativ</t>
  </si>
  <si>
    <t>Energirenoverat miljonprogram</t>
  </si>
  <si>
    <r>
      <t xml:space="preserve">Nedanstående parametrar </t>
    </r>
    <r>
      <rPr>
        <b/>
        <u/>
        <sz val="11"/>
        <color theme="1"/>
        <rFont val="Calibri"/>
        <family val="2"/>
        <scheme val="minor"/>
      </rPr>
      <t>skall ej ändras</t>
    </r>
  </si>
  <si>
    <t>MAXEFFEKT kW Leveransgräns B</t>
  </si>
  <si>
    <t xml:space="preserve">LILLA BYGGNADEN </t>
  </si>
  <si>
    <t>STORA BYGGNADEN</t>
  </si>
  <si>
    <t>SKILLNAD</t>
  </si>
  <si>
    <t xml:space="preserve">Investering: antas ske januari år -2. </t>
  </si>
  <si>
    <r>
      <t xml:space="preserve">Not:  </t>
    </r>
    <r>
      <rPr>
        <sz val="11"/>
        <color theme="1"/>
        <rFont val="Calibri"/>
        <family val="2"/>
        <scheme val="minor"/>
      </rPr>
      <t>Samtliga annuiteter är beräknade per månad, ovan anges december för resp år</t>
    </r>
  </si>
  <si>
    <t>Energimetoden (fördelning per såld MWh resp energislag)</t>
  </si>
  <si>
    <t xml:space="preserve"> </t>
  </si>
  <si>
    <t>Segment</t>
  </si>
  <si>
    <t>Fjärrvärmeanslutningen</t>
  </si>
  <si>
    <t>Kringutrustningssystemet</t>
  </si>
  <si>
    <t xml:space="preserve">Rörsystem från samlingsbrunnar </t>
  </si>
  <si>
    <t>fram till värmecentral</t>
  </si>
  <si>
    <t>Lager under mark</t>
  </si>
  <si>
    <t xml:space="preserve">Borrhål, kollektorer, schaktning, </t>
  </si>
  <si>
    <t>slangar till samlingsbrunnar</t>
  </si>
  <si>
    <t>Sekundärsystemet</t>
  </si>
  <si>
    <t>Värmesystem i byggnad:</t>
  </si>
  <si>
    <t xml:space="preserve">Merkostnad för grövre rörsystem </t>
  </si>
  <si>
    <t>större radiatorer och större värmebatteri</t>
  </si>
  <si>
    <t>Värmecentral</t>
  </si>
  <si>
    <t xml:space="preserve">Merkostnad för värmeväxlare, pumpar, </t>
  </si>
  <si>
    <t xml:space="preserve">rör, styr för värme exkl </t>
  </si>
  <si>
    <t>system för tappvarmvatten</t>
  </si>
  <si>
    <t>Summering av investeringar</t>
  </si>
  <si>
    <t>Kostnader(kr)</t>
  </si>
  <si>
    <t>Fjärrvärmepriser</t>
  </si>
  <si>
    <t>FJÄRRVÄRMETAXA</t>
  </si>
  <si>
    <t>INVESTERINGSKOSTNADER</t>
  </si>
  <si>
    <t>Kommentar</t>
  </si>
  <si>
    <t>Merkostnad (hur mycket dyrare det är med lager)</t>
  </si>
  <si>
    <t>Absolut kostnad</t>
  </si>
  <si>
    <t>Fasta kostnader</t>
  </si>
  <si>
    <t>Fast avgift (kr/år)</t>
  </si>
  <si>
    <t>Äldre energirenoverad kontorsbyggnad</t>
  </si>
  <si>
    <t>Totalt</t>
  </si>
  <si>
    <t>Totalt värmebehov</t>
  </si>
  <si>
    <t>DRIFTKOSTNADER</t>
  </si>
  <si>
    <t>Rörlig drift och underhåll</t>
  </si>
  <si>
    <t>Fast drift och underhåll</t>
  </si>
  <si>
    <t>Kostnader(kr/MWh)</t>
  </si>
  <si>
    <t>Summering av driftkostnader</t>
  </si>
  <si>
    <t>Generell byggnad</t>
  </si>
  <si>
    <t>Totala investeringar</t>
  </si>
  <si>
    <t>Energityp</t>
  </si>
  <si>
    <t>Real kalkylränta</t>
  </si>
  <si>
    <t>Real prisutveckling värme till lager</t>
  </si>
  <si>
    <t>Real prisutveckling fjärrvärme</t>
  </si>
  <si>
    <t>Köpt värme direkt</t>
  </si>
  <si>
    <t>Total kostnad</t>
  </si>
  <si>
    <t>LIVSCYKELKOSTNAD</t>
  </si>
  <si>
    <t>Avskrivningstid</t>
  </si>
  <si>
    <t>Ränta</t>
  </si>
  <si>
    <t>Energipris(kr/MWh)</t>
  </si>
  <si>
    <t>Total kostnad för värme som byggnad kräver(lager/ej lager)</t>
  </si>
  <si>
    <t>Nuvärde år -2, total</t>
  </si>
  <si>
    <t>TÄCKNINGSBIDRAG</t>
  </si>
  <si>
    <t>Täckningsgrad</t>
  </si>
  <si>
    <t>Produktionskostnad</t>
  </si>
  <si>
    <t>Intäkt från kund</t>
  </si>
  <si>
    <t>Resultat(kr)</t>
  </si>
  <si>
    <t>Investering(merkostnad)</t>
  </si>
  <si>
    <t>Total kostnad för tappvarmvatten</t>
  </si>
  <si>
    <t>Tappvarmvatten kostnad (kr)</t>
  </si>
  <si>
    <t>Resultat</t>
  </si>
  <si>
    <t>(kr)</t>
  </si>
  <si>
    <t>Resultat för kundalternativ</t>
  </si>
  <si>
    <t>Täckningsbidrag - påslag för byggnad</t>
  </si>
  <si>
    <t>Byggnad TOT</t>
  </si>
  <si>
    <t>Gränssnitt A: Byggnad</t>
  </si>
  <si>
    <t>Totala driftkostnader</t>
  </si>
  <si>
    <t>Gränssnitt A: Utan lager(kr)</t>
  </si>
  <si>
    <t>Gränssnitt B: Lagerlösning</t>
  </si>
  <si>
    <t>Gränssnitt A: Fjärrvärmelösning</t>
  </si>
  <si>
    <t>Fjärrvärmeanslutningen/Serviceledning</t>
  </si>
  <si>
    <t>Extra post - Kan fyllas i vid behov</t>
  </si>
  <si>
    <t>GRÄNSSNITT A: FJÄRRVÄRMEPRODUKTION(MWh) UTAN LAGER  FÖRDELAT PÅ PRODUKTIONSSLAG</t>
  </si>
  <si>
    <t>GRÄNSSNITT B: FJÄRRVÄRMEPRODUKTION(MWh) MED LAGER  FÖRDELAT PÅ PRODUKTIONSSLAG</t>
  </si>
  <si>
    <t>KUNDENS PRIS(BRÄNSLEPRISER(kr/MWh) MED PÅSLAG)</t>
  </si>
  <si>
    <t>Total kostnad, uppladdning lager</t>
  </si>
  <si>
    <t>Kostnad uppladdning av lager, år -1</t>
  </si>
  <si>
    <t>Kostnad uppladdning av lager, år 0</t>
  </si>
  <si>
    <t>Energipris från leverantör (kr/MWh)</t>
  </si>
  <si>
    <t>Vägt pris från leverantör (inkluderat pålägg på bränslekostnader)(kr/MWh)</t>
  </si>
  <si>
    <t>EKONOMISKT RESULTAT FÖR LEVERANTÖREN</t>
  </si>
  <si>
    <t>Gränssnitt A: Normalt energipris, kundens kostnad för fjärrvärme utan lager</t>
  </si>
  <si>
    <t>Energiintäkt(kr/MWh) (kundens energipris)</t>
  </si>
  <si>
    <t>Energikostnad(kr/MWh) (Energikostnad för produktion)</t>
  </si>
  <si>
    <t>Köpt värme till lager och byggnad</t>
  </si>
  <si>
    <t>Totala investerings och driftkostnader</t>
  </si>
  <si>
    <t>Gränsnitt B: Lager + Byggnad</t>
  </si>
  <si>
    <t>Gränssnitt B: Intäkt från kund</t>
  </si>
  <si>
    <t>Gränssnitt B: Produktionskostnad</t>
  </si>
  <si>
    <t>Gränssnitt B: Resultat(Intäkt minus produktionskostnad)</t>
  </si>
  <si>
    <t>EKONOMISKT RESULTAT FÖR KUNDEN(FASTIGHETSÄGAREN)</t>
  </si>
  <si>
    <t>Fjärrvärmeanslutningen/Serviceledning, Gränssnitt A</t>
  </si>
  <si>
    <t>Kringutrustningssystemet, Gränssnitt C</t>
  </si>
  <si>
    <t>Lager under mark, Gränssnitt C</t>
  </si>
  <si>
    <t>Sekundärsystemet, Gränssnitt A</t>
  </si>
  <si>
    <t>Värmecentral, Gränssnitt C</t>
  </si>
  <si>
    <t>Segment, Gränssnitt B</t>
  </si>
  <si>
    <t>tot</t>
  </si>
  <si>
    <t>Gränssnitt C: Lager</t>
  </si>
  <si>
    <t>Gränssnitt A: Total(byggnad +TVV)</t>
  </si>
  <si>
    <t>Gränssnitt C: Lager in</t>
  </si>
  <si>
    <t>MAXEFFEKT kW leveransgräns B (DYGNSMEDEL EFFEKT)</t>
  </si>
  <si>
    <t>UPPVÄRMNING AV LAGER -  indikativt per månad (notera att år 0 börjar värme tas ut ur lagret till byggnaden)</t>
  </si>
  <si>
    <t>(4200-6300 MWh/år tot värme)</t>
  </si>
  <si>
    <t>Uppvärmning år - 1</t>
  </si>
  <si>
    <t>Uppvärmning år 0</t>
  </si>
  <si>
    <t>månad</t>
  </si>
  <si>
    <t>år -1</t>
  </si>
  <si>
    <t>År-1</t>
  </si>
  <si>
    <t>Gränssnitt C: Lager, värme upp och ned i mark(MWh)</t>
  </si>
  <si>
    <t>Gränssnitt B: Fjärrvärme in i lager och in i byggnad (MWh)</t>
  </si>
  <si>
    <t>UPPVÄRMNING driftstart-&gt;leverans (MWh)</t>
  </si>
  <si>
    <t>Gränssnitt A: Byggnad (MWh)</t>
  </si>
  <si>
    <t>UPPLADDNING AV LAGER, ÅR -1 TILL 0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</si>
  <si>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</si>
  <si>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</si>
  <si>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</si>
  <si>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</si>
  <si>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</si>
  <si>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</si>
  <si>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</si>
  <si>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</si>
  <si>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</si>
  <si>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</si>
  <si>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</si>
  <si>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</si>
  <si>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</t>
  </si>
  <si>
    <t>Uppvärmning av lager</t>
  </si>
  <si>
    <t>(2500-3800 MWh/år tot värme)</t>
  </si>
  <si>
    <t>Produktionskostnad för uppladdning av lager</t>
  </si>
  <si>
    <t>Effektpris(kr/kW, år)</t>
  </si>
  <si>
    <t>År</t>
  </si>
  <si>
    <t>LEVERANTÖRENS PRODUKTIONSKOSTNADER (kr/MWh) (KOPIERAT FRÅN ÄNDRINGSBARA PARAMETRAR)</t>
  </si>
  <si>
    <t>Kategorital (h)</t>
  </si>
  <si>
    <t>Används för att utifrån fjärrvärmens produktionskostnad modellera ett pris till kund för laddning av lager</t>
  </si>
  <si>
    <t>Sammanvägt fjärrvärmepris (Energi, effekt och fast avgift) (kr/MWh)</t>
  </si>
  <si>
    <t>Effektpris utslaget på MWh (kr/MWh)</t>
  </si>
  <si>
    <t>Fast avgift utslagen på MWh (kr/MWh)</t>
  </si>
  <si>
    <t>Effekt sfa kategorital (kW)</t>
  </si>
  <si>
    <t>Gränssnitt A: Fjärrvärmepris sammanvägt</t>
  </si>
  <si>
    <t>Gränssnitt B: Fjärrvärmepris för laddning av lager</t>
  </si>
  <si>
    <t>Gränssnitt B: Med lager FJV-&gt;BYGGNAD (kr)</t>
  </si>
  <si>
    <t>Gränssnitt B: Med lager FJV-&gt;LAGER (kr)</t>
  </si>
  <si>
    <t>Gränssnitt B: Med lager TOTALT (kr)</t>
  </si>
  <si>
    <t>Intäkt Gränssnitt B: Med lager FJV-&gt;LAGER (kr)</t>
  </si>
  <si>
    <t>Kostnad Gränssnitt B: Med lager FJV-&gt;LAGER (kr)</t>
  </si>
  <si>
    <t>Intäkt från kund för laddning av lager</t>
  </si>
  <si>
    <t>Nettonuvärde</t>
  </si>
  <si>
    <t>Internränta</t>
  </si>
  <si>
    <t>Marginalproduktionsmix %</t>
  </si>
  <si>
    <t>Med lager</t>
  </si>
  <si>
    <t>Utan lager</t>
  </si>
  <si>
    <t>Nettonuvärde (Mkr)</t>
  </si>
  <si>
    <t>Intäkt såld värme till lager</t>
  </si>
  <si>
    <t>Kostnad såld värme till lager</t>
  </si>
  <si>
    <t>Ekonomisk nytta för kund</t>
  </si>
  <si>
    <t>Ekonomisk nytta för leverantör</t>
  </si>
  <si>
    <t>Effektpris från leverantör (kr/kW, år)</t>
  </si>
  <si>
    <t>Procentuell fördelning av marginalvärmeproduktion per månad</t>
  </si>
  <si>
    <t>DRIFT OCH UNDERHÅLLSKOSTNADER</t>
  </si>
  <si>
    <t>Effekt, fast avgift, kategorital</t>
  </si>
  <si>
    <t>Drift och underhållskostnader(D&amp;U)</t>
  </si>
  <si>
    <t>Total årlig kostnad för uppvärmning och tappvarmvatten</t>
  </si>
  <si>
    <t>Lager/Utan lager</t>
  </si>
  <si>
    <t>Kostnad för initial laddning av lager</t>
  </si>
  <si>
    <t>Kostnad</t>
  </si>
  <si>
    <t>Drift och underhållskostnader</t>
  </si>
  <si>
    <t>Kraft-bonus-metoden</t>
  </si>
  <si>
    <t>Alternativproduktionsmetoden (kraftvärme jmfrt kondensdrift)</t>
  </si>
  <si>
    <t>1-2 fylls i nedan på denna flik</t>
  </si>
  <si>
    <t>kr/MWh</t>
  </si>
  <si>
    <t>Svensk medelelmix (2010-2015)</t>
  </si>
  <si>
    <t>Total CO2-ekv (ton)</t>
  </si>
  <si>
    <t>Total primärenergi (MWh)</t>
  </si>
  <si>
    <t>Produktionanläggningens produktionskostnader (kr/MWh)</t>
  </si>
  <si>
    <t>JÄMFÖRELSE PRIMÄRENERGI (MWh)</t>
  </si>
  <si>
    <t>år</t>
  </si>
  <si>
    <t>%</t>
  </si>
  <si>
    <t>Primärenergifaktor (PEF) tillfört bränsle (MWh primärenergi /MWh fysikalisk energi )</t>
  </si>
  <si>
    <t>Not: Varmhållningsförluster fördelas proportionellt på de månader anläggningen producerar</t>
  </si>
  <si>
    <t>Primärenergi med lager</t>
  </si>
  <si>
    <t>Primärenergi utan lager</t>
  </si>
  <si>
    <t>Värmepump COP3</t>
  </si>
  <si>
    <t>Miljöpåverkan CO2 utan lager (ton)</t>
  </si>
  <si>
    <t>g/MJ, miljöfaktaboken 2011, sid 105</t>
  </si>
  <si>
    <t>g/MJ, miljöfaktaboken 2011, sid 104</t>
  </si>
  <si>
    <t>El till värmepump, värde beroende på vald elmix, se tabell nedan</t>
  </si>
  <si>
    <t>Elmix (kg/MWh)</t>
  </si>
  <si>
    <t>Antas bokföras 100% på industrins produktion</t>
  </si>
  <si>
    <t>XXXXXXX</t>
  </si>
  <si>
    <t>miljöfaktaboken 2011, sid 104/105'</t>
  </si>
  <si>
    <t>Antagits utgör rest, värderats i analogi med annat Bio-spill</t>
  </si>
  <si>
    <t>Antas utgör rest</t>
  </si>
  <si>
    <t>FJV (laddning)</t>
  </si>
  <si>
    <t>BYGGNAD (urladdning)</t>
  </si>
  <si>
    <t>Skillnad med lager jmfrt utan</t>
  </si>
  <si>
    <t>JÄMFÖRELSE MILJÖPÅVERKAN GWP (ton CO2-ekv)</t>
  </si>
  <si>
    <t xml:space="preserve"> (kg/MWh bränsle)</t>
  </si>
  <si>
    <t>Miljöpåverkan med lager (ton CO2)</t>
  </si>
  <si>
    <t xml:space="preserve">Emissionsfaktorer GWP  CO2-ekv. för bränsle </t>
  </si>
  <si>
    <t>Totalt i marginalen (MWh)</t>
  </si>
  <si>
    <t>Total skillnad (MWh)</t>
  </si>
  <si>
    <t>Källa:</t>
  </si>
  <si>
    <t>Skillnad i fjärrvärmeproduktion med lager, jämfört utan lager</t>
  </si>
  <si>
    <t>MWh värme</t>
  </si>
  <si>
    <t>Marginalproduktionen uttryckt i MWh</t>
  </si>
  <si>
    <t>Värmeverkningsgrad om bränslet hade eldats i HV-panna i stället (Allokering Alternativproduktionsmetoden)</t>
  </si>
  <si>
    <t>Elverkningsgrad om bränslet hade eldats i kondenskraftverk i stället för KVV (Allokering Alternativproduktionsmetoden)</t>
  </si>
  <si>
    <t>får ej vara noll, men påverkar ej resultat om Alfa är 0</t>
  </si>
  <si>
    <t>Värme från pannan = 1</t>
  </si>
  <si>
    <t xml:space="preserve">ton CO2 pannan:  (1+alfa)/n_tot*GWP </t>
  </si>
  <si>
    <t>1+alfa = tot mängd energi som vi räknar på</t>
  </si>
  <si>
    <t>GWP beror av bränsle</t>
  </si>
  <si>
    <t>Formel = (ton CO2 pannan - ton ersatt el) / (värme från pannan)</t>
  </si>
  <si>
    <t>n_tot =  pannverkningsgrad</t>
  </si>
  <si>
    <t>ton ersatt el = alfa x Värmepumpens GWP el</t>
  </si>
  <si>
    <t>Formel = (PE bränsle till pannan- ersatt PE el / MWh värme från pannan)</t>
  </si>
  <si>
    <t>PE till pannan:  (1+alfa)/n_tot*PEF</t>
  </si>
  <si>
    <t>PEF beror av bränsle</t>
  </si>
  <si>
    <t>PE ersatt el = alfa x Värmepumpens PEF el</t>
  </si>
  <si>
    <t>Allokering kraftbonusmetoden GWP / CO2-ekv. INKLUDERAR BRÄNSLETS GWP</t>
  </si>
  <si>
    <t>Allokering kraftbonusmetoden PEF Primärenergi  -- INKLUDERAR BRÄNSLETS PEF</t>
  </si>
  <si>
    <t>Allokering alternativproduktionsmetoden GWP inklusive pannverkningsgrad</t>
  </si>
  <si>
    <t>Allokering alternativproduktionsmetoden   PEF  inklusive pannverkningsgrad</t>
  </si>
  <si>
    <t>Allokering energimetoden   -  GWP - inklusive pannverkningsgrad</t>
  </si>
  <si>
    <t>Allokering energimetoden   -  PEF - inklusive pannverkningsgrad</t>
  </si>
  <si>
    <t>Nedanstående tabeller sär-redovisar skillnader i fjärrvärmeproduktion för alternativen med och utan lager. Eftersom baslasten förutsätts vara oförändrad ingår enbart marginalproduktionen nedan och inte baslast. Tabellerna i sig säger därför inget om fjärrvärmen i dess helhet eller om lagret. Det är skillnaden med och utan lager som redovisas i tabellerna t. v. som är relevent resultat. Tabellerna nedan kan användas för att förstå var skillnaden uppstår mellan alternativen.</t>
  </si>
  <si>
    <t>Primärenergi (MWh_pe)</t>
  </si>
  <si>
    <t>MWh_pe / MWh_fjärrvärme</t>
  </si>
  <si>
    <t>Negativt värde innebär att utsläppen minskar med lager, jämfört utan lager</t>
  </si>
  <si>
    <t>MWh_pe</t>
  </si>
  <si>
    <t>Primärenergianvändning (MWh_pe) per levererad fjärrvärme (MWh_fjärrvärme), inklusive pannverkningsgrad</t>
  </si>
  <si>
    <t>Förändrad användning primärenergi med lager jämfört utan</t>
  </si>
  <si>
    <t>Förändrad klimatpåverkan med lager jämfört utan</t>
  </si>
  <si>
    <t>emission CO2-ekv. (ton)</t>
  </si>
  <si>
    <t>ton CO2-ekv</t>
  </si>
  <si>
    <t>Negativt värde innebär att miljöpåverkan minskar</t>
  </si>
  <si>
    <t>Förändrad miljöpåverkan med lager, jämfört utan</t>
  </si>
  <si>
    <t>Förändrad primärenergienavändning med lager, jämfört utan</t>
  </si>
  <si>
    <t>Negativt värde innebär att primärenergianvändningen minskar</t>
  </si>
  <si>
    <t>Klimatpåverkan (ton CO2-ekv)</t>
  </si>
  <si>
    <t>Värme (MWh_fjärrvärme)</t>
  </si>
  <si>
    <t>Miljö och energi</t>
  </si>
  <si>
    <t>MWh/år (byggnad)</t>
  </si>
  <si>
    <t>Förändring med lager</t>
  </si>
  <si>
    <t>Summa</t>
  </si>
  <si>
    <t>Negativt värde innebär minskning med lager, jämfört utan lager</t>
  </si>
  <si>
    <t>Gräns B) levererad värme</t>
  </si>
  <si>
    <t>Gräns A) Byggnaden</t>
  </si>
  <si>
    <t>Gräns B) Fjärrvärme</t>
  </si>
  <si>
    <t>Gräns C) Lager</t>
  </si>
  <si>
    <t>Gräns B) Levererad värme</t>
  </si>
  <si>
    <t xml:space="preserve">Gräns B) Fjärrvärmeproduktion: MWh värme </t>
  </si>
  <si>
    <t xml:space="preserve">Gräns B) Utan lager </t>
  </si>
  <si>
    <t>Gräns B) Med lager</t>
  </si>
  <si>
    <t>Dim effekt (kW) fjärrvärme</t>
  </si>
  <si>
    <t>Jämförelse med och utan lager (MWh_fjärrvärme)</t>
  </si>
  <si>
    <t>Oskar Räftegård och Mikael Rosén, SP</t>
  </si>
  <si>
    <t>Joakim Nilsson och Jonathan Cygnaeus, DEVCCO</t>
  </si>
  <si>
    <t>Val av byggnad (1-3). Värmebehov bör hållas inom angivna värden:</t>
  </si>
  <si>
    <t>Förändring</t>
  </si>
  <si>
    <t>(Excell hittar inte internränta för alla lösningar, ibland blir därför reultatet #Ogiltigt!)</t>
  </si>
  <si>
    <t>Positivt nettonuvärde innebär ökat värde, dvs sänkt energikostnad</t>
  </si>
  <si>
    <t>Fjärrvärmekostnad</t>
  </si>
  <si>
    <t>Drift och underhåll (lager)</t>
  </si>
  <si>
    <t>Initial uppvärmning</t>
  </si>
  <si>
    <t>ÅRLIGA KOSTNADER</t>
  </si>
  <si>
    <t>Investering lager</t>
  </si>
  <si>
    <t>INITIALA KOSTNADER</t>
  </si>
  <si>
    <t xml:space="preserve"> (kg CO2/MWh_fj.värme)</t>
  </si>
  <si>
    <t xml:space="preserve">Emission CO2-ekvivalent som allokeras till fjärrvärme (inkl. pannverkningsgrad) </t>
  </si>
  <si>
    <t>Uppgift från Naturskyddsföreningen, mail.</t>
  </si>
  <si>
    <t>Miljövärdering av energilösningar i byggnader Metod för konsekvensanalys, IVL, 2015 Rapport B2240, högpresterande kolkondens, 43,5% verkn.grad</t>
  </si>
  <si>
    <t>Uppgift från Naturskyddsföreningen, mail</t>
  </si>
  <si>
    <t>Egen beräkning, baserad på Miljöfaktaboken (PEF 1.15) samt "Miljövärdering av energilösningar i byggnader Metod för konsekvensanalys, IVL, 2015 Rapport B2240": högpresterande kolkondens, 43,5% verkn.grad</t>
  </si>
  <si>
    <t>Marginalel</t>
  </si>
  <si>
    <t>HVC Gas</t>
  </si>
  <si>
    <t>KVV Gas</t>
  </si>
  <si>
    <t>får ej vara noll, men påverkar ej resultat om Alfa är 2</t>
  </si>
  <si>
    <t>får ej vara noll, men påverkar ej resultat om Alfa är 1</t>
  </si>
  <si>
    <t>Kostnad med lager</t>
  </si>
  <si>
    <t>Kostnad utan lager</t>
  </si>
  <si>
    <t>Fastighetsnära säsongslagring av fjärrvärme, Energiforsk rapport 2016:321, år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</si>
</sst>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#,##0\ &quot;kr&quot;"/>
    <numFmt numFmtId="167" formatCode="#,##0.000"/>
    <numFmt numFmtId="168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 tint="-0.1499984740745262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rgb="FFFA7D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rgb="FF7F7F7F"/>
      </right>
      <top style="thin">
        <color auto="1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auto="1"/>
      </top>
      <bottom style="thin">
        <color rgb="FF7F7F7F"/>
      </bottom>
      <diagonal/>
    </border>
    <border>
      <left style="thin">
        <color auto="1"/>
      </left>
      <right style="thin">
        <color rgb="FF7F7F7F"/>
      </right>
      <top style="thin">
        <color rgb="FF7F7F7F"/>
      </top>
      <bottom style="thin">
        <color auto="1"/>
      </bottom>
      <diagonal/>
    </border>
    <border>
      <left style="thin">
        <color auto="1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rgb="FF7F7F7F"/>
      </top>
      <bottom/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auto="1"/>
      </right>
      <top style="thin">
        <color auto="1"/>
      </top>
      <bottom style="thin">
        <color rgb="FFB2B2B2"/>
      </bottom>
      <diagonal/>
    </border>
    <border>
      <left style="thin">
        <color rgb="FFB2B2B2"/>
      </left>
      <right style="thin">
        <color auto="1"/>
      </right>
      <top style="thin">
        <color rgb="FFB2B2B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7F7F7F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 style="double">
        <color rgb="FFFF8001"/>
      </bottom>
      <diagonal/>
    </border>
    <border>
      <left/>
      <right style="thin">
        <color auto="1"/>
      </right>
      <top/>
      <bottom style="double">
        <color rgb="FFFF8001"/>
      </bottom>
      <diagonal/>
    </border>
    <border>
      <left style="thin">
        <color rgb="FF7F7F7F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 style="thin">
        <color auto="1"/>
      </left>
      <right style="thin">
        <color rgb="FF7F7F7F"/>
      </right>
      <top style="thin">
        <color auto="1"/>
      </top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auto="1"/>
      </top>
      <bottom style="double">
        <color rgb="FFFF8001"/>
      </bottom>
      <diagonal/>
    </border>
    <border>
      <left/>
      <right style="thin">
        <color rgb="FF7F7F7F"/>
      </right>
      <top style="thin">
        <color auto="1"/>
      </top>
      <bottom style="double">
        <color rgb="FFFF8001"/>
      </bottom>
      <diagonal/>
    </border>
    <border>
      <left/>
      <right style="thin">
        <color rgb="FF7F7F7F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 style="medium">
        <color auto="1"/>
      </bottom>
      <diagonal/>
    </border>
    <border>
      <left style="thin">
        <color rgb="FF7F7F7F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7F7F7F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7F7F7F"/>
      </left>
      <right style="thin">
        <color auto="1"/>
      </right>
      <top style="thin">
        <color auto="1"/>
      </top>
      <bottom style="thin">
        <color rgb="FF7F7F7F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/>
      <diagonal/>
    </border>
    <border>
      <left style="thin">
        <color auto="1"/>
      </left>
      <right/>
      <top/>
      <bottom style="thin">
        <color rgb="FF7F7F7F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  <xf numFmtId="0" fontId="1" fillId="4" borderId="2" applyNumberFormat="0" applyFont="0" applyAlignment="0" applyProtection="0"/>
    <xf numFmtId="0" fontId="5" fillId="0" borderId="0" applyNumberFormat="0" applyFill="0" applyBorder="0" applyAlignment="0" applyProtection="0"/>
    <xf numFmtId="0" fontId="4" fillId="0" borderId="3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46" applyNumberFormat="0" applyFill="0" applyAlignment="0" applyProtection="0"/>
    <xf numFmtId="0" fontId="21" fillId="0" borderId="47" applyNumberFormat="0" applyFill="0" applyAlignment="0" applyProtection="0"/>
    <xf numFmtId="0" fontId="22" fillId="0" borderId="48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4" fillId="23" borderId="0" applyNumberFormat="0" applyBorder="0" applyAlignment="0" applyProtection="0"/>
    <xf numFmtId="0" fontId="25" fillId="24" borderId="0" applyNumberFormat="0" applyBorder="0" applyAlignment="0" applyProtection="0"/>
    <xf numFmtId="0" fontId="26" fillId="3" borderId="49" applyNumberFormat="0" applyAlignment="0" applyProtection="0"/>
    <xf numFmtId="0" fontId="27" fillId="25" borderId="50" applyNumberFormat="0" applyAlignment="0" applyProtection="0"/>
    <xf numFmtId="0" fontId="18" fillId="0" borderId="0" applyNumberFormat="0" applyFill="0" applyBorder="0" applyAlignment="0" applyProtection="0"/>
    <xf numFmtId="0" fontId="6" fillId="0" borderId="51" applyNumberFormat="0" applyFill="0" applyAlignment="0" applyProtection="0"/>
    <xf numFmtId="0" fontId="2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28" fillId="49" borderId="0" applyNumberFormat="0" applyBorder="0" applyAlignment="0" applyProtection="0"/>
  </cellStyleXfs>
  <cellXfs count="740">
    <xf numFmtId="0" fontId="0" fillId="0" borderId="0" xfId="0"/>
    <xf numFmtId="0" fontId="9" fillId="6" borderId="0" xfId="0" applyFont="1" applyFill="1"/>
    <xf numFmtId="0" fontId="12" fillId="11" borderId="0" xfId="0" applyFont="1" applyFill="1"/>
    <xf numFmtId="0" fontId="0" fillId="8" borderId="0" xfId="0" applyFont="1" applyFill="1"/>
    <xf numFmtId="0" fontId="0" fillId="8" borderId="0" xfId="0" applyFill="1"/>
    <xf numFmtId="0" fontId="6" fillId="0" borderId="0" xfId="0" applyFont="1"/>
    <xf numFmtId="0" fontId="6" fillId="0" borderId="4" xfId="0" applyFont="1" applyBorder="1"/>
    <xf numFmtId="0" fontId="0" fillId="0" borderId="7" xfId="0" applyBorder="1"/>
    <xf numFmtId="0" fontId="2" fillId="2" borderId="1" xfId="2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9" fontId="2" fillId="2" borderId="14" xfId="1" applyFont="1" applyFill="1" applyBorder="1"/>
    <xf numFmtId="9" fontId="2" fillId="2" borderId="15" xfId="1" applyFont="1" applyFill="1" applyBorder="1"/>
    <xf numFmtId="9" fontId="2" fillId="2" borderId="9" xfId="1" applyFont="1" applyFill="1" applyBorder="1"/>
    <xf numFmtId="9" fontId="2" fillId="2" borderId="1" xfId="1" applyFont="1" applyFill="1" applyBorder="1"/>
    <xf numFmtId="0" fontId="0" fillId="0" borderId="19" xfId="0" applyBorder="1"/>
    <xf numFmtId="0" fontId="0" fillId="0" borderId="5" xfId="0" applyBorder="1"/>
    <xf numFmtId="0" fontId="6" fillId="0" borderId="7" xfId="0" applyFont="1" applyBorder="1"/>
    <xf numFmtId="0" fontId="6" fillId="0" borderId="22" xfId="0" applyFont="1" applyBorder="1"/>
    <xf numFmtId="0" fontId="0" fillId="0" borderId="23" xfId="0" applyBorder="1"/>
    <xf numFmtId="0" fontId="0" fillId="0" borderId="24" xfId="0" applyBorder="1"/>
    <xf numFmtId="0" fontId="0" fillId="0" borderId="3" xfId="0" applyBorder="1"/>
    <xf numFmtId="0" fontId="0" fillId="0" borderId="22" xfId="0" applyBorder="1"/>
    <xf numFmtId="0" fontId="0" fillId="0" borderId="4" xfId="0" applyBorder="1"/>
    <xf numFmtId="0" fontId="6" fillId="0" borderId="0" xfId="0" applyFont="1" applyFill="1" applyBorder="1"/>
    <xf numFmtId="3" fontId="0" fillId="0" borderId="0" xfId="0" applyNumberFormat="1"/>
    <xf numFmtId="0" fontId="0" fillId="0" borderId="0" xfId="0" applyBorder="1"/>
    <xf numFmtId="0" fontId="0" fillId="0" borderId="26" xfId="0" applyBorder="1"/>
    <xf numFmtId="0" fontId="0" fillId="0" borderId="6" xfId="0" applyBorder="1"/>
    <xf numFmtId="0" fontId="6" fillId="0" borderId="19" xfId="0" applyFont="1" applyBorder="1"/>
    <xf numFmtId="0" fontId="0" fillId="0" borderId="20" xfId="0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9" fontId="2" fillId="2" borderId="17" xfId="1" applyFont="1" applyFill="1" applyBorder="1"/>
    <xf numFmtId="9" fontId="2" fillId="2" borderId="18" xfId="1" applyFont="1" applyFill="1" applyBorder="1"/>
    <xf numFmtId="0" fontId="6" fillId="8" borderId="0" xfId="0" applyFont="1" applyFill="1"/>
    <xf numFmtId="0" fontId="0" fillId="14" borderId="0" xfId="0" applyFill="1"/>
    <xf numFmtId="0" fontId="0" fillId="6" borderId="5" xfId="0" applyFill="1" applyBorder="1"/>
    <xf numFmtId="0" fontId="0" fillId="6" borderId="6" xfId="0" applyFill="1" applyBorder="1"/>
    <xf numFmtId="0" fontId="0" fillId="6" borderId="11" xfId="0" applyFill="1" applyBorder="1"/>
    <xf numFmtId="0" fontId="0" fillId="6" borderId="12" xfId="0" applyFill="1" applyBorder="1"/>
    <xf numFmtId="0" fontId="6" fillId="6" borderId="4" xfId="0" applyFont="1" applyFill="1" applyBorder="1"/>
    <xf numFmtId="0" fontId="6" fillId="6" borderId="5" xfId="0" applyFont="1" applyFill="1" applyBorder="1"/>
    <xf numFmtId="0" fontId="6" fillId="6" borderId="6" xfId="0" applyFont="1" applyFill="1" applyBorder="1"/>
    <xf numFmtId="0" fontId="6" fillId="6" borderId="10" xfId="0" applyFont="1" applyFill="1" applyBorder="1"/>
    <xf numFmtId="0" fontId="6" fillId="6" borderId="11" xfId="0" applyFont="1" applyFill="1" applyBorder="1"/>
    <xf numFmtId="0" fontId="6" fillId="6" borderId="12" xfId="0" applyFont="1" applyFill="1" applyBorder="1"/>
    <xf numFmtId="0" fontId="0" fillId="5" borderId="0" xfId="0" applyFill="1"/>
    <xf numFmtId="0" fontId="6" fillId="0" borderId="4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4" xfId="0" applyFont="1" applyBorder="1"/>
    <xf numFmtId="0" fontId="6" fillId="0" borderId="3" xfId="0" applyFont="1" applyBorder="1"/>
    <xf numFmtId="0" fontId="0" fillId="0" borderId="22" xfId="0" applyFont="1" applyBorder="1"/>
    <xf numFmtId="0" fontId="0" fillId="0" borderId="0" xfId="0" applyFill="1" applyBorder="1"/>
    <xf numFmtId="0" fontId="0" fillId="0" borderId="24" xfId="0" applyFill="1" applyBorder="1"/>
    <xf numFmtId="0" fontId="0" fillId="0" borderId="22" xfId="0" applyFill="1" applyBorder="1"/>
    <xf numFmtId="0" fontId="0" fillId="8" borderId="0" xfId="0" applyFill="1" applyAlignment="1">
      <alignment horizontal="center"/>
    </xf>
    <xf numFmtId="0" fontId="6" fillId="12" borderId="0" xfId="0" applyFont="1" applyFill="1"/>
    <xf numFmtId="0" fontId="0" fillId="12" borderId="0" xfId="0" applyFill="1"/>
    <xf numFmtId="0" fontId="0" fillId="12" borderId="0" xfId="0" applyFill="1" applyAlignment="1">
      <alignment horizontal="center"/>
    </xf>
    <xf numFmtId="0" fontId="6" fillId="5" borderId="0" xfId="0" applyFont="1" applyFill="1"/>
    <xf numFmtId="0" fontId="6" fillId="14" borderId="0" xfId="0" applyFont="1" applyFill="1"/>
    <xf numFmtId="0" fontId="0" fillId="14" borderId="0" xfId="0" applyFill="1" applyAlignment="1">
      <alignment horizontal="center"/>
    </xf>
    <xf numFmtId="0" fontId="0" fillId="0" borderId="28" xfId="0" applyBorder="1"/>
    <xf numFmtId="164" fontId="0" fillId="0" borderId="0" xfId="0" applyNumberFormat="1"/>
    <xf numFmtId="0" fontId="6" fillId="0" borderId="0" xfId="0" applyFont="1" applyFill="1"/>
    <xf numFmtId="0" fontId="0" fillId="0" borderId="0" xfId="0" applyFill="1"/>
    <xf numFmtId="0" fontId="0" fillId="6" borderId="3" xfId="0" applyFont="1" applyFill="1" applyBorder="1"/>
    <xf numFmtId="0" fontId="0" fillId="6" borderId="3" xfId="0" applyFill="1" applyBorder="1"/>
    <xf numFmtId="0" fontId="0" fillId="6" borderId="0" xfId="0" applyFill="1" applyBorder="1"/>
    <xf numFmtId="0" fontId="6" fillId="6" borderId="0" xfId="0" applyFont="1" applyFill="1" applyBorder="1"/>
    <xf numFmtId="0" fontId="0" fillId="6" borderId="0" xfId="0" applyFill="1" applyBorder="1" applyAlignment="1">
      <alignment horizontal="center"/>
    </xf>
    <xf numFmtId="0" fontId="0" fillId="6" borderId="26" xfId="0" applyFill="1" applyBorder="1"/>
    <xf numFmtId="0" fontId="0" fillId="6" borderId="7" xfId="0" applyFill="1" applyBorder="1"/>
    <xf numFmtId="0" fontId="0" fillId="6" borderId="10" xfId="0" applyFill="1" applyBorder="1"/>
    <xf numFmtId="0" fontId="0" fillId="6" borderId="4" xfId="0" applyFill="1" applyBorder="1"/>
    <xf numFmtId="0" fontId="6" fillId="6" borderId="7" xfId="0" applyFont="1" applyFill="1" applyBorder="1"/>
    <xf numFmtId="0" fontId="0" fillId="6" borderId="19" xfId="0" applyFont="1" applyFill="1" applyBorder="1"/>
    <xf numFmtId="0" fontId="0" fillId="6" borderId="22" xfId="0" applyFill="1" applyBorder="1"/>
    <xf numFmtId="0" fontId="6" fillId="6" borderId="19" xfId="0" applyFont="1" applyFill="1" applyBorder="1"/>
    <xf numFmtId="3" fontId="0" fillId="0" borderId="0" xfId="0" applyNumberFormat="1" applyFill="1"/>
    <xf numFmtId="0" fontId="0" fillId="0" borderId="0" xfId="0" applyFill="1" applyAlignment="1">
      <alignment horizontal="center"/>
    </xf>
    <xf numFmtId="0" fontId="8" fillId="6" borderId="11" xfId="0" applyFont="1" applyFill="1" applyBorder="1"/>
    <xf numFmtId="0" fontId="8" fillId="6" borderId="7" xfId="0" applyFont="1" applyFill="1" applyBorder="1"/>
    <xf numFmtId="0" fontId="8" fillId="6" borderId="0" xfId="0" applyFont="1" applyFill="1" applyBorder="1"/>
    <xf numFmtId="0" fontId="0" fillId="8" borderId="0" xfId="0" applyFill="1" applyAlignment="1">
      <alignment horizontal="left"/>
    </xf>
    <xf numFmtId="1" fontId="0" fillId="0" borderId="4" xfId="0" applyNumberFormat="1" applyBorder="1"/>
    <xf numFmtId="1" fontId="0" fillId="0" borderId="5" xfId="0" applyNumberFormat="1" applyBorder="1"/>
    <xf numFmtId="1" fontId="0" fillId="0" borderId="6" xfId="0" applyNumberFormat="1" applyBorder="1"/>
    <xf numFmtId="1" fontId="0" fillId="0" borderId="22" xfId="0" applyNumberFormat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" fontId="0" fillId="0" borderId="24" xfId="0" applyNumberFormat="1" applyBorder="1"/>
    <xf numFmtId="1" fontId="0" fillId="0" borderId="19" xfId="0" applyNumberFormat="1" applyBorder="1"/>
    <xf numFmtId="1" fontId="0" fillId="0" borderId="20" xfId="0" applyNumberFormat="1" applyBorder="1"/>
    <xf numFmtId="1" fontId="0" fillId="0" borderId="3" xfId="0" applyNumberFormat="1" applyBorder="1"/>
    <xf numFmtId="0" fontId="0" fillId="0" borderId="10" xfId="0" applyFont="1" applyFill="1" applyBorder="1"/>
    <xf numFmtId="0" fontId="0" fillId="4" borderId="29" xfId="4" applyFont="1" applyBorder="1"/>
    <xf numFmtId="1" fontId="0" fillId="0" borderId="0" xfId="0" applyNumberFormat="1" applyBorder="1"/>
    <xf numFmtId="1" fontId="0" fillId="0" borderId="23" xfId="0" applyNumberFormat="1" applyBorder="1"/>
    <xf numFmtId="0" fontId="0" fillId="0" borderId="0" xfId="0" applyFont="1" applyFill="1" applyBorder="1"/>
    <xf numFmtId="0" fontId="0" fillId="0" borderId="0" xfId="4" applyFont="1" applyFill="1" applyBorder="1"/>
    <xf numFmtId="0" fontId="3" fillId="3" borderId="1" xfId="3" applyAlignment="1">
      <alignment horizontal="right"/>
    </xf>
    <xf numFmtId="0" fontId="0" fillId="0" borderId="11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15" borderId="5" xfId="0" applyFill="1" applyBorder="1"/>
    <xf numFmtId="0" fontId="0" fillId="15" borderId="0" xfId="0" applyFill="1" applyBorder="1"/>
    <xf numFmtId="0" fontId="0" fillId="15" borderId="10" xfId="0" applyFill="1" applyBorder="1"/>
    <xf numFmtId="0" fontId="0" fillId="15" borderId="11" xfId="0" applyFill="1" applyBorder="1"/>
    <xf numFmtId="0" fontId="0" fillId="7" borderId="0" xfId="0" applyFill="1" applyBorder="1"/>
    <xf numFmtId="0" fontId="0" fillId="7" borderId="11" xfId="0" applyFill="1" applyBorder="1"/>
    <xf numFmtId="0" fontId="10" fillId="9" borderId="4" xfId="0" applyFont="1" applyFill="1" applyBorder="1"/>
    <xf numFmtId="0" fontId="10" fillId="9" borderId="5" xfId="0" applyFont="1" applyFill="1" applyBorder="1"/>
    <xf numFmtId="0" fontId="10" fillId="9" borderId="6" xfId="0" applyFont="1" applyFill="1" applyBorder="1"/>
    <xf numFmtId="0" fontId="9" fillId="6" borderId="7" xfId="0" applyFont="1" applyFill="1" applyBorder="1"/>
    <xf numFmtId="0" fontId="9" fillId="6" borderId="0" xfId="0" applyFont="1" applyFill="1" applyBorder="1"/>
    <xf numFmtId="0" fontId="9" fillId="6" borderId="26" xfId="0" applyFont="1" applyFill="1" applyBorder="1"/>
    <xf numFmtId="0" fontId="9" fillId="6" borderId="10" xfId="0" applyFont="1" applyFill="1" applyBorder="1"/>
    <xf numFmtId="0" fontId="9" fillId="6" borderId="11" xfId="0" applyFont="1" applyFill="1" applyBorder="1"/>
    <xf numFmtId="0" fontId="9" fillId="6" borderId="12" xfId="0" applyFont="1" applyFill="1" applyBorder="1"/>
    <xf numFmtId="0" fontId="9" fillId="6" borderId="4" xfId="0" applyFont="1" applyFill="1" applyBorder="1"/>
    <xf numFmtId="0" fontId="9" fillId="6" borderId="5" xfId="0" applyFont="1" applyFill="1" applyBorder="1"/>
    <xf numFmtId="0" fontId="9" fillId="6" borderId="6" xfId="0" applyFont="1" applyFill="1" applyBorder="1"/>
    <xf numFmtId="0" fontId="16" fillId="6" borderId="7" xfId="0" applyFont="1" applyFill="1" applyBorder="1"/>
    <xf numFmtId="3" fontId="16" fillId="6" borderId="0" xfId="0" applyNumberFormat="1" applyFont="1" applyFill="1" applyBorder="1"/>
    <xf numFmtId="0" fontId="16" fillId="6" borderId="0" xfId="0" applyFont="1" applyFill="1" applyBorder="1"/>
    <xf numFmtId="0" fontId="6" fillId="17" borderId="4" xfId="0" applyFont="1" applyFill="1" applyBorder="1"/>
    <xf numFmtId="0" fontId="0" fillId="17" borderId="5" xfId="0" applyFill="1" applyBorder="1"/>
    <xf numFmtId="0" fontId="0" fillId="17" borderId="6" xfId="0" applyFill="1" applyBorder="1"/>
    <xf numFmtId="0" fontId="0" fillId="7" borderId="23" xfId="0" applyFill="1" applyBorder="1"/>
    <xf numFmtId="0" fontId="0" fillId="7" borderId="24" xfId="0" applyFill="1" applyBorder="1"/>
    <xf numFmtId="0" fontId="6" fillId="7" borderId="3" xfId="0" applyFont="1" applyFill="1" applyBorder="1"/>
    <xf numFmtId="0" fontId="6" fillId="16" borderId="4" xfId="0" applyFont="1" applyFill="1" applyBorder="1"/>
    <xf numFmtId="0" fontId="6" fillId="15" borderId="3" xfId="0" applyFont="1" applyFill="1" applyBorder="1"/>
    <xf numFmtId="0" fontId="0" fillId="15" borderId="3" xfId="0" applyFill="1" applyBorder="1"/>
    <xf numFmtId="0" fontId="0" fillId="15" borderId="23" xfId="0" applyFill="1" applyBorder="1"/>
    <xf numFmtId="0" fontId="0" fillId="15" borderId="24" xfId="0" applyFill="1" applyBorder="1"/>
    <xf numFmtId="0" fontId="0" fillId="18" borderId="0" xfId="0" applyFill="1"/>
    <xf numFmtId="0" fontId="6" fillId="16" borderId="5" xfId="0" applyFont="1" applyFill="1" applyBorder="1"/>
    <xf numFmtId="0" fontId="6" fillId="16" borderId="6" xfId="0" applyFont="1" applyFill="1" applyBorder="1"/>
    <xf numFmtId="0" fontId="6" fillId="16" borderId="10" xfId="0" applyFont="1" applyFill="1" applyBorder="1"/>
    <xf numFmtId="0" fontId="6" fillId="16" borderId="11" xfId="0" applyFont="1" applyFill="1" applyBorder="1"/>
    <xf numFmtId="0" fontId="6" fillId="16" borderId="12" xfId="0" applyFont="1" applyFill="1" applyBorder="1"/>
    <xf numFmtId="0" fontId="6" fillId="13" borderId="19" xfId="0" applyFont="1" applyFill="1" applyBorder="1"/>
    <xf numFmtId="0" fontId="0" fillId="13" borderId="20" xfId="0" applyFill="1" applyBorder="1"/>
    <xf numFmtId="0" fontId="0" fillId="13" borderId="21" xfId="0" applyFill="1" applyBorder="1"/>
    <xf numFmtId="0" fontId="6" fillId="18" borderId="19" xfId="0" applyFont="1" applyFill="1" applyBorder="1"/>
    <xf numFmtId="0" fontId="0" fillId="18" borderId="20" xfId="0" applyFill="1" applyBorder="1"/>
    <xf numFmtId="0" fontId="0" fillId="18" borderId="21" xfId="0" applyFill="1" applyBorder="1"/>
    <xf numFmtId="0" fontId="6" fillId="20" borderId="0" xfId="0" applyFont="1" applyFill="1" applyBorder="1"/>
    <xf numFmtId="0" fontId="0" fillId="20" borderId="0" xfId="0" applyFill="1" applyBorder="1"/>
    <xf numFmtId="0" fontId="0" fillId="20" borderId="0" xfId="0" applyFill="1"/>
    <xf numFmtId="0" fontId="0" fillId="0" borderId="7" xfId="0" applyFill="1" applyBorder="1"/>
    <xf numFmtId="0" fontId="0" fillId="0" borderId="10" xfId="0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7" xfId="2" applyFont="1" applyFill="1" applyBorder="1"/>
    <xf numFmtId="0" fontId="7" fillId="0" borderId="13" xfId="2" applyFont="1" applyFill="1" applyBorder="1"/>
    <xf numFmtId="0" fontId="6" fillId="17" borderId="19" xfId="0" applyFont="1" applyFill="1" applyBorder="1"/>
    <xf numFmtId="0" fontId="0" fillId="17" borderId="20" xfId="0" applyFill="1" applyBorder="1"/>
    <xf numFmtId="0" fontId="0" fillId="17" borderId="21" xfId="0" applyFill="1" applyBorder="1"/>
    <xf numFmtId="0" fontId="10" fillId="19" borderId="19" xfId="0" applyFont="1" applyFill="1" applyBorder="1"/>
    <xf numFmtId="0" fontId="10" fillId="19" borderId="20" xfId="0" applyFont="1" applyFill="1" applyBorder="1"/>
    <xf numFmtId="0" fontId="10" fillId="19" borderId="21" xfId="0" applyFont="1" applyFill="1" applyBorder="1"/>
    <xf numFmtId="0" fontId="14" fillId="0" borderId="7" xfId="0" applyFont="1" applyBorder="1"/>
    <xf numFmtId="3" fontId="2" fillId="2" borderId="1" xfId="2" applyNumberFormat="1" applyBorder="1"/>
    <xf numFmtId="0" fontId="14" fillId="0" borderId="0" xfId="0" applyFont="1" applyBorder="1"/>
    <xf numFmtId="0" fontId="6" fillId="0" borderId="4" xfId="0" applyFont="1" applyFill="1" applyBorder="1"/>
    <xf numFmtId="165" fontId="3" fillId="3" borderId="1" xfId="3" applyNumberFormat="1"/>
    <xf numFmtId="0" fontId="6" fillId="6" borderId="26" xfId="0" applyFont="1" applyFill="1" applyBorder="1"/>
    <xf numFmtId="0" fontId="17" fillId="0" borderId="0" xfId="0" applyFont="1"/>
    <xf numFmtId="0" fontId="0" fillId="0" borderId="0" xfId="0" applyFont="1"/>
    <xf numFmtId="0" fontId="8" fillId="0" borderId="0" xfId="0" applyFont="1" applyFill="1" applyBorder="1"/>
    <xf numFmtId="0" fontId="17" fillId="0" borderId="0" xfId="0" applyFont="1" applyFill="1" applyBorder="1"/>
    <xf numFmtId="3" fontId="0" fillId="0" borderId="0" xfId="0" applyNumberFormat="1" applyBorder="1"/>
    <xf numFmtId="0" fontId="6" fillId="0" borderId="11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9" fontId="0" fillId="0" borderId="0" xfId="1" applyFont="1" applyBorder="1"/>
    <xf numFmtId="0" fontId="6" fillId="0" borderId="3" xfId="0" applyFont="1" applyFill="1" applyBorder="1"/>
    <xf numFmtId="0" fontId="0" fillId="0" borderId="3" xfId="0" applyFill="1" applyBorder="1"/>
    <xf numFmtId="0" fontId="0" fillId="0" borderId="3" xfId="0" applyFont="1" applyFill="1" applyBorder="1"/>
    <xf numFmtId="9" fontId="0" fillId="0" borderId="0" xfId="1" applyFont="1" applyFill="1" applyBorder="1"/>
    <xf numFmtId="0" fontId="2" fillId="0" borderId="0" xfId="2" applyFill="1" applyBorder="1"/>
    <xf numFmtId="3" fontId="2" fillId="0" borderId="0" xfId="2" applyNumberFormat="1" applyFill="1" applyBorder="1"/>
    <xf numFmtId="165" fontId="2" fillId="0" borderId="0" xfId="2" applyNumberFormat="1" applyFill="1" applyBorder="1"/>
    <xf numFmtId="3" fontId="3" fillId="0" borderId="0" xfId="3" applyNumberFormat="1" applyFill="1" applyBorder="1"/>
    <xf numFmtId="0" fontId="3" fillId="3" borderId="1" xfId="3"/>
    <xf numFmtId="3" fontId="3" fillId="3" borderId="1" xfId="3" applyNumberFormat="1"/>
    <xf numFmtId="0" fontId="0" fillId="0" borderId="21" xfId="0" applyFont="1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0" xfId="0" applyFont="1" applyFill="1" applyBorder="1"/>
    <xf numFmtId="0" fontId="6" fillId="0" borderId="19" xfId="0" applyFont="1" applyFill="1" applyBorder="1"/>
    <xf numFmtId="0" fontId="0" fillId="0" borderId="0" xfId="0" applyFont="1" applyBorder="1"/>
    <xf numFmtId="0" fontId="0" fillId="0" borderId="11" xfId="0" applyFill="1" applyBorder="1"/>
    <xf numFmtId="0" fontId="3" fillId="0" borderId="0" xfId="3" applyFill="1" applyBorder="1"/>
    <xf numFmtId="0" fontId="6" fillId="0" borderId="11" xfId="0" applyFont="1" applyFill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8" fillId="0" borderId="0" xfId="0" applyFont="1"/>
    <xf numFmtId="3" fontId="3" fillId="3" borderId="18" xfId="3" applyNumberFormat="1" applyBorder="1"/>
    <xf numFmtId="3" fontId="4" fillId="0" borderId="0" xfId="3" applyNumberFormat="1" applyFont="1" applyFill="1" applyBorder="1"/>
    <xf numFmtId="3" fontId="3" fillId="3" borderId="9" xfId="3" applyNumberFormat="1" applyBorder="1"/>
    <xf numFmtId="3" fontId="8" fillId="0" borderId="7" xfId="0" applyNumberFormat="1" applyFont="1" applyBorder="1"/>
    <xf numFmtId="0" fontId="8" fillId="0" borderId="7" xfId="0" applyFont="1" applyBorder="1"/>
    <xf numFmtId="0" fontId="8" fillId="0" borderId="0" xfId="0" applyFont="1" applyBorder="1"/>
    <xf numFmtId="3" fontId="3" fillId="3" borderId="27" xfId="3" applyNumberFormat="1" applyBorder="1"/>
    <xf numFmtId="3" fontId="3" fillId="3" borderId="34" xfId="3" applyNumberFormat="1" applyBorder="1"/>
    <xf numFmtId="3" fontId="3" fillId="3" borderId="36" xfId="3" applyNumberFormat="1" applyBorder="1"/>
    <xf numFmtId="3" fontId="3" fillId="3" borderId="37" xfId="3" applyNumberFormat="1" applyBorder="1"/>
    <xf numFmtId="0" fontId="14" fillId="0" borderId="0" xfId="0" applyFont="1"/>
    <xf numFmtId="0" fontId="0" fillId="0" borderId="23" xfId="0" applyFont="1" applyBorder="1"/>
    <xf numFmtId="0" fontId="0" fillId="0" borderId="31" xfId="0" applyFont="1" applyBorder="1"/>
    <xf numFmtId="0" fontId="6" fillId="0" borderId="23" xfId="0" applyFont="1" applyBorder="1"/>
    <xf numFmtId="0" fontId="0" fillId="0" borderId="34" xfId="0" applyFont="1" applyBorder="1"/>
    <xf numFmtId="0" fontId="0" fillId="0" borderId="32" xfId="0" applyFont="1" applyBorder="1"/>
    <xf numFmtId="0" fontId="0" fillId="0" borderId="32" xfId="0" applyFont="1" applyFill="1" applyBorder="1"/>
    <xf numFmtId="0" fontId="0" fillId="0" borderId="33" xfId="0" applyFont="1" applyFill="1" applyBorder="1"/>
    <xf numFmtId="0" fontId="0" fillId="0" borderId="7" xfId="0" applyFont="1" applyBorder="1"/>
    <xf numFmtId="3" fontId="3" fillId="3" borderId="1" xfId="3" applyNumberFormat="1" applyFont="1" applyBorder="1"/>
    <xf numFmtId="3" fontId="3" fillId="3" borderId="34" xfId="3" applyNumberFormat="1" applyFont="1" applyBorder="1"/>
    <xf numFmtId="3" fontId="3" fillId="3" borderId="16" xfId="3" applyNumberFormat="1" applyBorder="1"/>
    <xf numFmtId="0" fontId="18" fillId="0" borderId="0" xfId="0" applyFont="1"/>
    <xf numFmtId="166" fontId="3" fillId="3" borderId="1" xfId="3" applyNumberFormat="1"/>
    <xf numFmtId="3" fontId="3" fillId="3" borderId="25" xfId="3" applyNumberFormat="1" applyFont="1" applyBorder="1"/>
    <xf numFmtId="3" fontId="3" fillId="3" borderId="40" xfId="3" applyNumberFormat="1" applyFont="1" applyBorder="1"/>
    <xf numFmtId="0" fontId="0" fillId="21" borderId="0" xfId="0" applyFill="1" applyBorder="1"/>
    <xf numFmtId="0" fontId="6" fillId="21" borderId="0" xfId="0" applyFont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38" xfId="6"/>
    <xf numFmtId="0" fontId="4" fillId="0" borderId="41" xfId="6" applyBorder="1"/>
    <xf numFmtId="0" fontId="4" fillId="0" borderId="38" xfId="6" applyBorder="1"/>
    <xf numFmtId="0" fontId="4" fillId="0" borderId="42" xfId="6" applyBorder="1"/>
    <xf numFmtId="0" fontId="4" fillId="0" borderId="10" xfId="6" applyBorder="1"/>
    <xf numFmtId="0" fontId="4" fillId="0" borderId="11" xfId="6" applyBorder="1"/>
    <xf numFmtId="0" fontId="4" fillId="0" borderId="12" xfId="6" applyBorder="1"/>
    <xf numFmtId="3" fontId="4" fillId="0" borderId="38" xfId="6" applyNumberFormat="1"/>
    <xf numFmtId="0" fontId="0" fillId="4" borderId="2" xfId="4" applyFont="1"/>
    <xf numFmtId="1" fontId="0" fillId="14" borderId="0" xfId="0" applyNumberFormat="1" applyFill="1" applyAlignment="1">
      <alignment horizontal="left"/>
    </xf>
    <xf numFmtId="0" fontId="0" fillId="0" borderId="0" xfId="0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" fontId="4" fillId="3" borderId="1" xfId="3" applyNumberFormat="1" applyFont="1" applyAlignment="1">
      <alignment horizontal="right"/>
    </xf>
    <xf numFmtId="1" fontId="0" fillId="0" borderId="0" xfId="0" applyNumberFormat="1"/>
    <xf numFmtId="3" fontId="0" fillId="4" borderId="30" xfId="4" applyNumberFormat="1" applyFont="1" applyBorder="1"/>
    <xf numFmtId="1" fontId="4" fillId="3" borderId="25" xfId="3" applyNumberFormat="1" applyFont="1" applyBorder="1" applyAlignment="1">
      <alignment horizontal="right"/>
    </xf>
    <xf numFmtId="1" fontId="4" fillId="0" borderId="41" xfId="6" applyNumberFormat="1" applyBorder="1"/>
    <xf numFmtId="1" fontId="4" fillId="0" borderId="38" xfId="6" applyNumberFormat="1"/>
    <xf numFmtId="1" fontId="4" fillId="0" borderId="38" xfId="6" applyNumberFormat="1" applyBorder="1"/>
    <xf numFmtId="1" fontId="4" fillId="0" borderId="42" xfId="6" applyNumberFormat="1" applyBorder="1"/>
    <xf numFmtId="1" fontId="4" fillId="0" borderId="10" xfId="6" applyNumberFormat="1" applyBorder="1"/>
    <xf numFmtId="1" fontId="4" fillId="0" borderId="11" xfId="6" applyNumberFormat="1" applyBorder="1"/>
    <xf numFmtId="1" fontId="4" fillId="0" borderId="12" xfId="6" applyNumberFormat="1" applyBorder="1"/>
    <xf numFmtId="0" fontId="0" fillId="0" borderId="26" xfId="0" applyFont="1" applyFill="1" applyBorder="1"/>
    <xf numFmtId="0" fontId="6" fillId="0" borderId="26" xfId="0" applyFont="1" applyFill="1" applyBorder="1"/>
    <xf numFmtId="0" fontId="0" fillId="0" borderId="21" xfId="0" applyBorder="1"/>
    <xf numFmtId="0" fontId="0" fillId="0" borderId="52" xfId="0" applyBorder="1"/>
    <xf numFmtId="0" fontId="0" fillId="0" borderId="23" xfId="0" applyFont="1" applyFill="1" applyBorder="1"/>
    <xf numFmtId="3" fontId="4" fillId="0" borderId="54" xfId="6" applyNumberFormat="1" applyBorder="1"/>
    <xf numFmtId="1" fontId="6" fillId="0" borderId="3" xfId="0" applyNumberFormat="1" applyFont="1" applyBorder="1"/>
    <xf numFmtId="1" fontId="0" fillId="0" borderId="22" xfId="0" applyNumberFormat="1" applyFont="1" applyBorder="1"/>
    <xf numFmtId="1" fontId="6" fillId="0" borderId="24" xfId="0" applyNumberFormat="1" applyFont="1" applyBorder="1"/>
    <xf numFmtId="1" fontId="6" fillId="0" borderId="22" xfId="0" applyNumberFormat="1" applyFont="1" applyBorder="1"/>
    <xf numFmtId="1" fontId="0" fillId="0" borderId="22" xfId="0" applyNumberFormat="1" applyFill="1" applyBorder="1"/>
    <xf numFmtId="1" fontId="0" fillId="0" borderId="24" xfId="0" applyNumberFormat="1" applyFill="1" applyBorder="1"/>
    <xf numFmtId="1" fontId="0" fillId="12" borderId="0" xfId="0" applyNumberFormat="1" applyFill="1"/>
    <xf numFmtId="1" fontId="0" fillId="0" borderId="21" xfId="0" applyNumberFormat="1" applyBorder="1"/>
    <xf numFmtId="0" fontId="0" fillId="0" borderId="0" xfId="0"/>
    <xf numFmtId="0" fontId="0" fillId="0" borderId="0" xfId="0"/>
    <xf numFmtId="0" fontId="0" fillId="0" borderId="0" xfId="0" applyFont="1" applyFill="1"/>
    <xf numFmtId="3" fontId="3" fillId="3" borderId="8" xfId="3" applyNumberFormat="1" applyBorder="1"/>
    <xf numFmtId="167" fontId="0" fillId="0" borderId="0" xfId="0" applyNumberFormat="1" applyFont="1" applyBorder="1"/>
    <xf numFmtId="168" fontId="3" fillId="3" borderId="37" xfId="1" applyNumberFormat="1" applyFont="1" applyFill="1" applyBorder="1"/>
    <xf numFmtId="164" fontId="0" fillId="6" borderId="22" xfId="0" applyNumberFormat="1" applyFill="1" applyBorder="1"/>
    <xf numFmtId="0" fontId="6" fillId="0" borderId="3" xfId="0" applyFont="1" applyBorder="1" applyAlignment="1">
      <alignment horizontal="center"/>
    </xf>
    <xf numFmtId="3" fontId="4" fillId="0" borderId="55" xfId="6" applyNumberFormat="1" applyBorder="1"/>
    <xf numFmtId="3" fontId="3" fillId="3" borderId="56" xfId="3" applyNumberFormat="1" applyBorder="1"/>
    <xf numFmtId="0" fontId="3" fillId="3" borderId="9" xfId="3" applyBorder="1"/>
    <xf numFmtId="3" fontId="3" fillId="3" borderId="57" xfId="3" applyNumberFormat="1" applyBorder="1"/>
    <xf numFmtId="0" fontId="0" fillId="0" borderId="39" xfId="0" applyFont="1" applyFill="1" applyBorder="1"/>
    <xf numFmtId="0" fontId="8" fillId="0" borderId="26" xfId="0" applyFont="1" applyBorder="1"/>
    <xf numFmtId="3" fontId="3" fillId="3" borderId="58" xfId="3" applyNumberFormat="1" applyBorder="1"/>
    <xf numFmtId="0" fontId="0" fillId="0" borderId="33" xfId="0" applyFont="1" applyBorder="1"/>
    <xf numFmtId="0" fontId="6" fillId="0" borderId="22" xfId="0" applyFont="1" applyFill="1" applyBorder="1" applyAlignment="1">
      <alignment horizontal="left"/>
    </xf>
    <xf numFmtId="0" fontId="0" fillId="0" borderId="0" xfId="0"/>
    <xf numFmtId="0" fontId="10" fillId="0" borderId="0" xfId="0" applyFont="1" applyFill="1"/>
    <xf numFmtId="0" fontId="9" fillId="0" borderId="0" xfId="0" applyFont="1" applyFill="1"/>
    <xf numFmtId="0" fontId="14" fillId="0" borderId="0" xfId="0" applyFont="1" applyFill="1"/>
    <xf numFmtId="0" fontId="11" fillId="0" borderId="0" xfId="0" applyFont="1" applyFill="1"/>
    <xf numFmtId="164" fontId="0" fillId="7" borderId="0" xfId="0" applyNumberFormat="1" applyFill="1" applyBorder="1"/>
    <xf numFmtId="164" fontId="0" fillId="7" borderId="26" xfId="0" applyNumberFormat="1" applyFill="1" applyBorder="1"/>
    <xf numFmtId="0" fontId="0" fillId="15" borderId="4" xfId="0" applyFill="1" applyBorder="1"/>
    <xf numFmtId="0" fontId="0" fillId="0" borderId="0" xfId="0" applyFill="1"/>
    <xf numFmtId="4" fontId="7" fillId="2" borderId="3" xfId="1" applyNumberFormat="1" applyFont="1" applyFill="1" applyBorder="1"/>
    <xf numFmtId="164" fontId="7" fillId="2" borderId="3" xfId="1" applyNumberFormat="1" applyFont="1" applyFill="1" applyBorder="1"/>
    <xf numFmtId="3" fontId="7" fillId="2" borderId="3" xfId="1" applyNumberFormat="1" applyFont="1" applyFill="1" applyBorder="1"/>
    <xf numFmtId="0" fontId="6" fillId="50" borderId="4" xfId="0" applyFont="1" applyFill="1" applyBorder="1"/>
    <xf numFmtId="0" fontId="0" fillId="50" borderId="7" xfId="0" applyFill="1" applyBorder="1"/>
    <xf numFmtId="0" fontId="6" fillId="50" borderId="10" xfId="0" applyFont="1" applyFill="1" applyBorder="1"/>
    <xf numFmtId="0" fontId="0" fillId="50" borderId="10" xfId="0" applyFill="1" applyBorder="1"/>
    <xf numFmtId="0" fontId="6" fillId="50" borderId="4" xfId="0" applyFont="1" applyFill="1" applyBorder="1" applyAlignment="1"/>
    <xf numFmtId="0" fontId="6" fillId="50" borderId="5" xfId="0" applyFont="1" applyFill="1" applyBorder="1" applyAlignment="1"/>
    <xf numFmtId="0" fontId="6" fillId="50" borderId="6" xfId="0" applyFont="1" applyFill="1" applyBorder="1" applyAlignment="1"/>
    <xf numFmtId="0" fontId="0" fillId="50" borderId="10" xfId="0" applyFont="1" applyFill="1" applyBorder="1"/>
    <xf numFmtId="3" fontId="0" fillId="6" borderId="0" xfId="0" applyNumberFormat="1" applyFill="1" applyBorder="1"/>
    <xf numFmtId="3" fontId="6" fillId="6" borderId="0" xfId="0" applyNumberFormat="1" applyFont="1" applyFill="1" applyBorder="1"/>
    <xf numFmtId="0" fontId="6" fillId="0" borderId="7" xfId="0" applyFont="1" applyFill="1" applyBorder="1"/>
    <xf numFmtId="0" fontId="0" fillId="7" borderId="7" xfId="0" applyFill="1" applyBorder="1"/>
    <xf numFmtId="0" fontId="0" fillId="7" borderId="10" xfId="0" applyFill="1" applyBorder="1"/>
    <xf numFmtId="0" fontId="0" fillId="0" borderId="10" xfId="0" applyFont="1" applyBorder="1"/>
    <xf numFmtId="0" fontId="0" fillId="51" borderId="3" xfId="0" applyFill="1" applyBorder="1"/>
    <xf numFmtId="3" fontId="7" fillId="2" borderId="3" xfId="2" applyNumberFormat="1" applyFont="1" applyBorder="1"/>
    <xf numFmtId="0" fontId="7" fillId="2" borderId="3" xfId="2" applyFont="1" applyBorder="1"/>
    <xf numFmtId="10" fontId="7" fillId="2" borderId="3" xfId="2" applyNumberFormat="1" applyFont="1" applyBorder="1"/>
    <xf numFmtId="9" fontId="7" fillId="2" borderId="3" xfId="2" applyNumberFormat="1" applyFont="1" applyBorder="1"/>
    <xf numFmtId="0" fontId="6" fillId="6" borderId="7" xfId="0" applyFont="1" applyFill="1" applyBorder="1" applyAlignment="1">
      <alignment horizontal="left"/>
    </xf>
    <xf numFmtId="0" fontId="6" fillId="6" borderId="0" xfId="0" applyFont="1" applyFill="1" applyBorder="1" applyAlignment="1">
      <alignment horizontal="left"/>
    </xf>
    <xf numFmtId="0" fontId="6" fillId="6" borderId="26" xfId="0" applyFont="1" applyFill="1" applyBorder="1" applyAlignment="1">
      <alignment horizontal="left"/>
    </xf>
    <xf numFmtId="3" fontId="7" fillId="6" borderId="5" xfId="1" applyNumberFormat="1" applyFont="1" applyFill="1" applyBorder="1"/>
    <xf numFmtId="3" fontId="7" fillId="6" borderId="6" xfId="1" applyNumberFormat="1" applyFont="1" applyFill="1" applyBorder="1"/>
    <xf numFmtId="0" fontId="7" fillId="0" borderId="3" xfId="2" applyFont="1" applyFill="1" applyBorder="1"/>
    <xf numFmtId="9" fontId="7" fillId="2" borderId="3" xfId="1" applyFont="1" applyFill="1" applyBorder="1"/>
    <xf numFmtId="9" fontId="7" fillId="2" borderId="22" xfId="1" applyFont="1" applyFill="1" applyBorder="1"/>
    <xf numFmtId="0" fontId="11" fillId="16" borderId="19" xfId="0" applyFont="1" applyFill="1" applyBorder="1"/>
    <xf numFmtId="0" fontId="11" fillId="16" borderId="20" xfId="0" applyFont="1" applyFill="1" applyBorder="1"/>
    <xf numFmtId="0" fontId="11" fillId="16" borderId="21" xfId="0" applyFont="1" applyFill="1" applyBorder="1"/>
    <xf numFmtId="0" fontId="6" fillId="6" borderId="3" xfId="0" applyFont="1" applyFill="1" applyBorder="1"/>
    <xf numFmtId="0" fontId="6" fillId="6" borderId="3" xfId="0" applyFont="1" applyFill="1" applyBorder="1" applyAlignment="1">
      <alignment horizontal="center"/>
    </xf>
    <xf numFmtId="0" fontId="0" fillId="6" borderId="0" xfId="4" applyFont="1" applyFill="1" applyBorder="1"/>
    <xf numFmtId="0" fontId="29" fillId="6" borderId="3" xfId="0" applyFont="1" applyFill="1" applyBorder="1"/>
    <xf numFmtId="0" fontId="6" fillId="10" borderId="4" xfId="0" applyFont="1" applyFill="1" applyBorder="1"/>
    <xf numFmtId="0" fontId="0" fillId="10" borderId="5" xfId="0" applyFill="1" applyBorder="1"/>
    <xf numFmtId="0" fontId="0" fillId="10" borderId="6" xfId="0" applyFill="1" applyBorder="1"/>
    <xf numFmtId="0" fontId="0" fillId="6" borderId="19" xfId="0" applyFill="1" applyBorder="1"/>
    <xf numFmtId="0" fontId="0" fillId="6" borderId="20" xfId="0" applyFill="1" applyBorder="1"/>
    <xf numFmtId="0" fontId="0" fillId="6" borderId="21" xfId="0" applyFill="1" applyBorder="1"/>
    <xf numFmtId="0" fontId="8" fillId="6" borderId="0" xfId="4" applyFont="1" applyFill="1" applyBorder="1"/>
    <xf numFmtId="0" fontId="0" fillId="6" borderId="26" xfId="4" applyFont="1" applyFill="1" applyBorder="1"/>
    <xf numFmtId="0" fontId="6" fillId="10" borderId="7" xfId="0" applyFont="1" applyFill="1" applyBorder="1"/>
    <xf numFmtId="0" fontId="0" fillId="10" borderId="0" xfId="0" applyFill="1" applyBorder="1"/>
    <xf numFmtId="0" fontId="0" fillId="10" borderId="26" xfId="0" applyFill="1" applyBorder="1"/>
    <xf numFmtId="0" fontId="17" fillId="6" borderId="10" xfId="0" applyFont="1" applyFill="1" applyBorder="1"/>
    <xf numFmtId="3" fontId="2" fillId="6" borderId="11" xfId="2" applyNumberFormat="1" applyFill="1" applyBorder="1"/>
    <xf numFmtId="0" fontId="6" fillId="6" borderId="19" xfId="0" applyFont="1" applyFill="1" applyBorder="1" applyAlignment="1"/>
    <xf numFmtId="0" fontId="6" fillId="6" borderId="21" xfId="0" applyFont="1" applyFill="1" applyBorder="1" applyAlignment="1"/>
    <xf numFmtId="0" fontId="0" fillId="0" borderId="0" xfId="0" applyFill="1" applyAlignment="1"/>
    <xf numFmtId="0" fontId="0" fillId="6" borderId="7" xfId="0" applyFont="1" applyFill="1" applyBorder="1"/>
    <xf numFmtId="0" fontId="2" fillId="6" borderId="11" xfId="2" applyFill="1" applyBorder="1"/>
    <xf numFmtId="0" fontId="7" fillId="6" borderId="0" xfId="2" applyFont="1" applyFill="1" applyBorder="1"/>
    <xf numFmtId="0" fontId="0" fillId="4" borderId="3" xfId="4" applyFont="1" applyBorder="1"/>
    <xf numFmtId="3" fontId="7" fillId="2" borderId="62" xfId="2" applyNumberFormat="1" applyFont="1" applyBorder="1"/>
    <xf numFmtId="0" fontId="0" fillId="4" borderId="60" xfId="4" applyFont="1" applyBorder="1"/>
    <xf numFmtId="0" fontId="0" fillId="4" borderId="61" xfId="4" applyFont="1" applyBorder="1"/>
    <xf numFmtId="0" fontId="4" fillId="6" borderId="0" xfId="6" applyFill="1" applyBorder="1"/>
    <xf numFmtId="3" fontId="4" fillId="6" borderId="0" xfId="6" applyNumberFormat="1" applyFill="1" applyBorder="1"/>
    <xf numFmtId="0" fontId="7" fillId="51" borderId="3" xfId="2" applyFont="1" applyFill="1" applyBorder="1"/>
    <xf numFmtId="3" fontId="7" fillId="51" borderId="3" xfId="2" applyNumberFormat="1" applyFont="1" applyFill="1" applyBorder="1"/>
    <xf numFmtId="0" fontId="0" fillId="50" borderId="3" xfId="4" applyFont="1" applyFill="1" applyBorder="1"/>
    <xf numFmtId="0" fontId="8" fillId="6" borderId="0" xfId="0" applyFont="1" applyFill="1" applyBorder="1" applyAlignment="1">
      <alignment horizontal="center"/>
    </xf>
    <xf numFmtId="0" fontId="0" fillId="6" borderId="0" xfId="0" applyFont="1" applyFill="1" applyBorder="1"/>
    <xf numFmtId="0" fontId="0" fillId="6" borderId="0" xfId="0" applyFont="1" applyFill="1" applyBorder="1" applyAlignment="1"/>
    <xf numFmtId="0" fontId="0" fillId="6" borderId="4" xfId="0" applyFont="1" applyFill="1" applyBorder="1"/>
    <xf numFmtId="0" fontId="0" fillId="6" borderId="22" xfId="0" applyFont="1" applyFill="1" applyBorder="1"/>
    <xf numFmtId="0" fontId="0" fillId="6" borderId="63" xfId="0" applyFont="1" applyFill="1" applyBorder="1"/>
    <xf numFmtId="0" fontId="0" fillId="6" borderId="65" xfId="0" applyFont="1" applyFill="1" applyBorder="1"/>
    <xf numFmtId="0" fontId="0" fillId="6" borderId="10" xfId="0" applyFont="1" applyFill="1" applyBorder="1"/>
    <xf numFmtId="0" fontId="0" fillId="6" borderId="12" xfId="0" applyFont="1" applyFill="1" applyBorder="1"/>
    <xf numFmtId="9" fontId="7" fillId="6" borderId="19" xfId="1" applyFont="1" applyFill="1" applyBorder="1"/>
    <xf numFmtId="9" fontId="7" fillId="6" borderId="20" xfId="1" applyFont="1" applyFill="1" applyBorder="1"/>
    <xf numFmtId="9" fontId="7" fillId="6" borderId="21" xfId="1" applyFont="1" applyFill="1" applyBorder="1"/>
    <xf numFmtId="164" fontId="7" fillId="2" borderId="0" xfId="1" applyNumberFormat="1" applyFont="1" applyFill="1" applyBorder="1"/>
    <xf numFmtId="3" fontId="7" fillId="2" borderId="0" xfId="1" applyNumberFormat="1" applyFont="1" applyFill="1" applyBorder="1"/>
    <xf numFmtId="0" fontId="0" fillId="0" borderId="0" xfId="0" quotePrefix="1" applyFill="1"/>
    <xf numFmtId="4" fontId="7" fillId="0" borderId="3" xfId="1" applyNumberFormat="1" applyFont="1" applyFill="1" applyBorder="1"/>
    <xf numFmtId="0" fontId="6" fillId="13" borderId="22" xfId="0" applyFont="1" applyFill="1" applyBorder="1" applyAlignment="1">
      <alignment horizontal="left"/>
    </xf>
    <xf numFmtId="0" fontId="0" fillId="13" borderId="5" xfId="0" applyFill="1" applyBorder="1"/>
    <xf numFmtId="0" fontId="0" fillId="13" borderId="22" xfId="0" applyFill="1" applyBorder="1"/>
    <xf numFmtId="1" fontId="0" fillId="13" borderId="5" xfId="0" applyNumberFormat="1" applyFill="1" applyBorder="1"/>
    <xf numFmtId="0" fontId="0" fillId="13" borderId="24" xfId="0" applyFill="1" applyBorder="1"/>
    <xf numFmtId="1" fontId="0" fillId="13" borderId="11" xfId="0" applyNumberFormat="1" applyFill="1" applyBorder="1"/>
    <xf numFmtId="0" fontId="0" fillId="13" borderId="3" xfId="0" applyFill="1" applyBorder="1"/>
    <xf numFmtId="1" fontId="6" fillId="13" borderId="20" xfId="0" applyNumberFormat="1" applyFont="1" applyFill="1" applyBorder="1"/>
    <xf numFmtId="0" fontId="6" fillId="14" borderId="19" xfId="0" applyFont="1" applyFill="1" applyBorder="1"/>
    <xf numFmtId="0" fontId="6" fillId="14" borderId="20" xfId="0" applyFont="1" applyFill="1" applyBorder="1"/>
    <xf numFmtId="0" fontId="6" fillId="14" borderId="21" xfId="0" applyFont="1" applyFill="1" applyBorder="1"/>
    <xf numFmtId="3" fontId="0" fillId="13" borderId="7" xfId="0" applyNumberFormat="1" applyFill="1" applyBorder="1"/>
    <xf numFmtId="0" fontId="0" fillId="13" borderId="0" xfId="0" applyFill="1" applyBorder="1"/>
    <xf numFmtId="0" fontId="0" fillId="13" borderId="0" xfId="0" applyFill="1" applyBorder="1" applyAlignment="1">
      <alignment horizontal="center"/>
    </xf>
    <xf numFmtId="0" fontId="0" fillId="13" borderId="23" xfId="0" applyFill="1" applyBorder="1"/>
    <xf numFmtId="1" fontId="0" fillId="13" borderId="0" xfId="0" applyNumberFormat="1" applyFill="1" applyBorder="1"/>
    <xf numFmtId="0" fontId="6" fillId="13" borderId="3" xfId="0" applyFont="1" applyFill="1" applyBorder="1"/>
    <xf numFmtId="1" fontId="0" fillId="13" borderId="20" xfId="0" applyNumberFormat="1" applyFill="1" applyBorder="1"/>
    <xf numFmtId="0" fontId="0" fillId="13" borderId="22" xfId="0" applyFont="1" applyFill="1" applyBorder="1"/>
    <xf numFmtId="0" fontId="6" fillId="13" borderId="24" xfId="0" applyFont="1" applyFill="1" applyBorder="1"/>
    <xf numFmtId="0" fontId="6" fillId="13" borderId="22" xfId="0" applyFont="1" applyFill="1" applyBorder="1"/>
    <xf numFmtId="1" fontId="0" fillId="13" borderId="11" xfId="0" quotePrefix="1" applyNumberFormat="1" applyFill="1" applyBorder="1" applyAlignment="1">
      <alignment horizontal="center"/>
    </xf>
    <xf numFmtId="0" fontId="6" fillId="12" borderId="19" xfId="0" applyFont="1" applyFill="1" applyBorder="1"/>
    <xf numFmtId="0" fontId="0" fillId="12" borderId="20" xfId="0" applyFill="1" applyBorder="1"/>
    <xf numFmtId="0" fontId="6" fillId="52" borderId="19" xfId="0" applyFont="1" applyFill="1" applyBorder="1"/>
    <xf numFmtId="0" fontId="0" fillId="52" borderId="20" xfId="0" applyFill="1" applyBorder="1"/>
    <xf numFmtId="0" fontId="6" fillId="53" borderId="19" xfId="0" applyFont="1" applyFill="1" applyBorder="1"/>
    <xf numFmtId="0" fontId="0" fillId="53" borderId="3" xfId="0" applyFill="1" applyBorder="1"/>
    <xf numFmtId="0" fontId="0" fillId="53" borderId="7" xfId="0" applyFill="1" applyBorder="1"/>
    <xf numFmtId="1" fontId="0" fillId="53" borderId="7" xfId="0" applyNumberFormat="1" applyFill="1" applyBorder="1"/>
    <xf numFmtId="1" fontId="0" fillId="53" borderId="0" xfId="0" applyNumberFormat="1" applyFill="1" applyBorder="1"/>
    <xf numFmtId="0" fontId="0" fillId="53" borderId="10" xfId="0" applyFill="1" applyBorder="1"/>
    <xf numFmtId="1" fontId="0" fillId="53" borderId="10" xfId="0" applyNumberFormat="1" applyFill="1" applyBorder="1"/>
    <xf numFmtId="1" fontId="0" fillId="53" borderId="11" xfId="0" applyNumberFormat="1" applyFill="1" applyBorder="1"/>
    <xf numFmtId="0" fontId="0" fillId="53" borderId="23" xfId="0" applyFill="1" applyBorder="1"/>
    <xf numFmtId="0" fontId="0" fillId="53" borderId="24" xfId="0" applyFill="1" applyBorder="1"/>
    <xf numFmtId="9" fontId="0" fillId="53" borderId="7" xfId="1" applyFont="1" applyFill="1" applyBorder="1"/>
    <xf numFmtId="9" fontId="0" fillId="53" borderId="0" xfId="1" applyFont="1" applyFill="1" applyBorder="1"/>
    <xf numFmtId="9" fontId="0" fillId="53" borderId="26" xfId="1" applyFont="1" applyFill="1" applyBorder="1"/>
    <xf numFmtId="9" fontId="0" fillId="53" borderId="10" xfId="1" applyFont="1" applyFill="1" applyBorder="1"/>
    <xf numFmtId="9" fontId="0" fillId="53" borderId="11" xfId="1" applyFont="1" applyFill="1" applyBorder="1"/>
    <xf numFmtId="9" fontId="0" fillId="53" borderId="12" xfId="1" applyFont="1" applyFill="1" applyBorder="1"/>
    <xf numFmtId="0" fontId="6" fillId="53" borderId="10" xfId="0" applyFont="1" applyFill="1" applyBorder="1"/>
    <xf numFmtId="0" fontId="6" fillId="53" borderId="3" xfId="0" applyFont="1" applyFill="1" applyBorder="1"/>
    <xf numFmtId="3" fontId="6" fillId="53" borderId="3" xfId="1" applyNumberFormat="1" applyFont="1" applyFill="1" applyBorder="1"/>
    <xf numFmtId="3" fontId="6" fillId="53" borderId="23" xfId="1" applyNumberFormat="1" applyFont="1" applyFill="1" applyBorder="1"/>
    <xf numFmtId="3" fontId="6" fillId="53" borderId="19" xfId="1" applyNumberFormat="1" applyFont="1" applyFill="1" applyBorder="1"/>
    <xf numFmtId="3" fontId="6" fillId="53" borderId="20" xfId="1" applyNumberFormat="1" applyFont="1" applyFill="1" applyBorder="1"/>
    <xf numFmtId="3" fontId="6" fillId="53" borderId="21" xfId="1" applyNumberFormat="1" applyFont="1" applyFill="1" applyBorder="1"/>
    <xf numFmtId="0" fontId="0" fillId="53" borderId="4" xfId="0" applyFill="1" applyBorder="1"/>
    <xf numFmtId="0" fontId="6" fillId="54" borderId="19" xfId="0" applyFont="1" applyFill="1" applyBorder="1"/>
    <xf numFmtId="0" fontId="0" fillId="54" borderId="20" xfId="0" applyFill="1" applyBorder="1"/>
    <xf numFmtId="0" fontId="0" fillId="54" borderId="20" xfId="0" applyFill="1" applyBorder="1" applyAlignment="1">
      <alignment horizontal="center"/>
    </xf>
    <xf numFmtId="0" fontId="0" fillId="54" borderId="0" xfId="0" applyFill="1"/>
    <xf numFmtId="1" fontId="0" fillId="54" borderId="0" xfId="0" applyNumberFormat="1" applyFill="1" applyBorder="1"/>
    <xf numFmtId="164" fontId="0" fillId="7" borderId="11" xfId="0" applyNumberFormat="1" applyFill="1" applyBorder="1"/>
    <xf numFmtId="164" fontId="0" fillId="7" borderId="12" xfId="0" applyNumberFormat="1" applyFill="1" applyBorder="1"/>
    <xf numFmtId="0" fontId="6" fillId="0" borderId="7" xfId="0" applyFont="1" applyFill="1" applyBorder="1" applyAlignment="1">
      <alignment horizontal="center"/>
    </xf>
    <xf numFmtId="0" fontId="6" fillId="53" borderId="20" xfId="0" applyFont="1" applyFill="1" applyBorder="1"/>
    <xf numFmtId="0" fontId="33" fillId="53" borderId="20" xfId="0" applyFont="1" applyFill="1" applyBorder="1"/>
    <xf numFmtId="0" fontId="33" fillId="53" borderId="21" xfId="0" applyFont="1" applyFill="1" applyBorder="1"/>
    <xf numFmtId="1" fontId="33" fillId="53" borderId="4" xfId="0" applyNumberFormat="1" applyFont="1" applyFill="1" applyBorder="1" applyAlignment="1"/>
    <xf numFmtId="1" fontId="33" fillId="53" borderId="5" xfId="0" applyNumberFormat="1" applyFont="1" applyFill="1" applyBorder="1" applyAlignment="1"/>
    <xf numFmtId="1" fontId="33" fillId="53" borderId="6" xfId="0" applyNumberFormat="1" applyFont="1" applyFill="1" applyBorder="1" applyAlignment="1"/>
    <xf numFmtId="1" fontId="33" fillId="53" borderId="7" xfId="0" applyNumberFormat="1" applyFont="1" applyFill="1" applyBorder="1" applyAlignment="1"/>
    <xf numFmtId="1" fontId="33" fillId="53" borderId="0" xfId="0" applyNumberFormat="1" applyFont="1" applyFill="1" applyBorder="1" applyAlignment="1"/>
    <xf numFmtId="1" fontId="33" fillId="53" borderId="26" xfId="0" applyNumberFormat="1" applyFont="1" applyFill="1" applyBorder="1" applyAlignment="1"/>
    <xf numFmtId="1" fontId="33" fillId="53" borderId="10" xfId="0" applyNumberFormat="1" applyFont="1" applyFill="1" applyBorder="1" applyAlignment="1"/>
    <xf numFmtId="1" fontId="33" fillId="53" borderId="11" xfId="0" applyNumberFormat="1" applyFont="1" applyFill="1" applyBorder="1" applyAlignment="1"/>
    <xf numFmtId="1" fontId="33" fillId="53" borderId="12" xfId="0" applyNumberFormat="1" applyFont="1" applyFill="1" applyBorder="1" applyAlignment="1"/>
    <xf numFmtId="3" fontId="32" fillId="53" borderId="19" xfId="1" applyNumberFormat="1" applyFont="1" applyFill="1" applyBorder="1"/>
    <xf numFmtId="3" fontId="32" fillId="53" borderId="20" xfId="1" applyNumberFormat="1" applyFont="1" applyFill="1" applyBorder="1"/>
    <xf numFmtId="3" fontId="32" fillId="53" borderId="21" xfId="1" applyNumberFormat="1" applyFont="1" applyFill="1" applyBorder="1"/>
    <xf numFmtId="0" fontId="33" fillId="0" borderId="0" xfId="0" applyFont="1" applyBorder="1"/>
    <xf numFmtId="0" fontId="0" fillId="7" borderId="0" xfId="0" applyFill="1"/>
    <xf numFmtId="0" fontId="33" fillId="7" borderId="20" xfId="0" applyFont="1" applyFill="1" applyBorder="1"/>
    <xf numFmtId="0" fontId="33" fillId="7" borderId="21" xfId="0" applyFont="1" applyFill="1" applyBorder="1"/>
    <xf numFmtId="9" fontId="7" fillId="6" borderId="4" xfId="1" applyFont="1" applyFill="1" applyBorder="1"/>
    <xf numFmtId="9" fontId="7" fillId="6" borderId="5" xfId="1" applyFont="1" applyFill="1" applyBorder="1"/>
    <xf numFmtId="9" fontId="7" fillId="6" borderId="6" xfId="1" applyFont="1" applyFill="1" applyBorder="1"/>
    <xf numFmtId="9" fontId="7" fillId="6" borderId="7" xfId="1" applyFont="1" applyFill="1" applyBorder="1"/>
    <xf numFmtId="9" fontId="7" fillId="6" borderId="0" xfId="1" applyFont="1" applyFill="1" applyBorder="1"/>
    <xf numFmtId="9" fontId="7" fillId="6" borderId="26" xfId="1" applyFont="1" applyFill="1" applyBorder="1"/>
    <xf numFmtId="9" fontId="7" fillId="2" borderId="24" xfId="1" applyFont="1" applyFill="1" applyBorder="1"/>
    <xf numFmtId="0" fontId="0" fillId="0" borderId="5" xfId="0" applyFill="1" applyBorder="1"/>
    <xf numFmtId="3" fontId="7" fillId="6" borderId="0" xfId="1" applyNumberFormat="1" applyFont="1" applyFill="1" applyBorder="1"/>
    <xf numFmtId="3" fontId="7" fillId="6" borderId="26" xfId="1" applyNumberFormat="1" applyFont="1" applyFill="1" applyBorder="1"/>
    <xf numFmtId="10" fontId="7" fillId="2" borderId="3" xfId="1" applyNumberFormat="1" applyFont="1" applyFill="1" applyBorder="1"/>
    <xf numFmtId="0" fontId="7" fillId="6" borderId="4" xfId="2" quotePrefix="1" applyFont="1" applyFill="1" applyBorder="1" applyAlignment="1">
      <alignment horizontal="center"/>
    </xf>
    <xf numFmtId="0" fontId="7" fillId="6" borderId="5" xfId="2" quotePrefix="1" applyFont="1" applyFill="1" applyBorder="1" applyAlignment="1">
      <alignment horizontal="center"/>
    </xf>
    <xf numFmtId="0" fontId="7" fillId="6" borderId="6" xfId="2" quotePrefix="1" applyFont="1" applyFill="1" applyBorder="1" applyAlignment="1">
      <alignment horizontal="center"/>
    </xf>
    <xf numFmtId="0" fontId="7" fillId="6" borderId="7" xfId="2" quotePrefix="1" applyFont="1" applyFill="1" applyBorder="1" applyAlignment="1">
      <alignment horizontal="center"/>
    </xf>
    <xf numFmtId="0" fontId="7" fillId="6" borderId="0" xfId="2" quotePrefix="1" applyFont="1" applyFill="1" applyBorder="1" applyAlignment="1">
      <alignment horizontal="center"/>
    </xf>
    <xf numFmtId="0" fontId="7" fillId="6" borderId="26" xfId="2" quotePrefix="1" applyFont="1" applyFill="1" applyBorder="1" applyAlignment="1">
      <alignment horizontal="center"/>
    </xf>
    <xf numFmtId="0" fontId="7" fillId="6" borderId="10" xfId="2" quotePrefix="1" applyFont="1" applyFill="1" applyBorder="1" applyAlignment="1">
      <alignment horizontal="center"/>
    </xf>
    <xf numFmtId="0" fontId="7" fillId="6" borderId="11" xfId="2" quotePrefix="1" applyFont="1" applyFill="1" applyBorder="1" applyAlignment="1">
      <alignment horizontal="center"/>
    </xf>
    <xf numFmtId="0" fontId="7" fillId="6" borderId="12" xfId="2" quotePrefix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5" xfId="0" quotePrefix="1" applyFill="1" applyBorder="1"/>
    <xf numFmtId="2" fontId="7" fillId="0" borderId="3" xfId="1" quotePrefix="1" applyNumberFormat="1" applyFont="1" applyFill="1" applyBorder="1" applyAlignment="1">
      <alignment horizontal="center"/>
    </xf>
    <xf numFmtId="2" fontId="7" fillId="0" borderId="3" xfId="1" applyNumberFormat="1" applyFont="1" applyFill="1" applyBorder="1"/>
    <xf numFmtId="1" fontId="7" fillId="20" borderId="4" xfId="1" quotePrefix="1" applyNumberFormat="1" applyFont="1" applyFill="1" applyBorder="1" applyAlignment="1">
      <alignment horizontal="center"/>
    </xf>
    <xf numFmtId="1" fontId="7" fillId="20" borderId="22" xfId="1" quotePrefix="1" applyNumberFormat="1" applyFont="1" applyFill="1" applyBorder="1" applyAlignment="1">
      <alignment horizontal="center"/>
    </xf>
    <xf numFmtId="2" fontId="7" fillId="20" borderId="4" xfId="1" quotePrefix="1" applyNumberFormat="1" applyFont="1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165" fontId="7" fillId="20" borderId="4" xfId="1" quotePrefix="1" applyNumberFormat="1" applyFont="1" applyFill="1" applyBorder="1" applyAlignment="1">
      <alignment horizontal="center"/>
    </xf>
    <xf numFmtId="2" fontId="7" fillId="20" borderId="4" xfId="1" quotePrefix="1" applyNumberFormat="1" applyFont="1" applyFill="1" applyBorder="1" applyAlignment="1">
      <alignment horizontal="right"/>
    </xf>
    <xf numFmtId="2" fontId="7" fillId="20" borderId="22" xfId="1" quotePrefix="1" applyNumberFormat="1" applyFont="1" applyFill="1" applyBorder="1" applyAlignment="1">
      <alignment horizontal="right"/>
    </xf>
    <xf numFmtId="165" fontId="7" fillId="20" borderId="4" xfId="1" quotePrefix="1" applyNumberFormat="1" applyFont="1" applyFill="1" applyBorder="1" applyAlignment="1">
      <alignment horizontal="right"/>
    </xf>
    <xf numFmtId="165" fontId="7" fillId="20" borderId="22" xfId="1" quotePrefix="1" applyNumberFormat="1" applyFont="1" applyFill="1" applyBorder="1" applyAlignment="1">
      <alignment horizontal="right"/>
    </xf>
    <xf numFmtId="165" fontId="7" fillId="0" borderId="3" xfId="1" applyNumberFormat="1" applyFont="1" applyFill="1" applyBorder="1"/>
    <xf numFmtId="165" fontId="7" fillId="20" borderId="22" xfId="1" quotePrefix="1" applyNumberFormat="1" applyFont="1" applyFill="1" applyBorder="1" applyAlignment="1">
      <alignment horizontal="center"/>
    </xf>
    <xf numFmtId="165" fontId="0" fillId="0" borderId="3" xfId="1" applyNumberFormat="1" applyFont="1" applyBorder="1" applyAlignment="1">
      <alignment horizontal="right"/>
    </xf>
    <xf numFmtId="2" fontId="7" fillId="20" borderId="22" xfId="1" quotePrefix="1" applyNumberFormat="1" applyFont="1" applyFill="1" applyBorder="1" applyAlignment="1">
      <alignment horizontal="center"/>
    </xf>
    <xf numFmtId="0" fontId="0" fillId="7" borderId="23" xfId="0" applyFont="1" applyFill="1" applyBorder="1"/>
    <xf numFmtId="165" fontId="0" fillId="7" borderId="0" xfId="0" applyNumberFormat="1" applyFont="1" applyFill="1" applyBorder="1"/>
    <xf numFmtId="0" fontId="0" fillId="7" borderId="24" xfId="0" applyFont="1" applyFill="1" applyBorder="1"/>
    <xf numFmtId="165" fontId="0" fillId="7" borderId="11" xfId="0" applyNumberFormat="1" applyFont="1" applyFill="1" applyBorder="1"/>
    <xf numFmtId="3" fontId="33" fillId="7" borderId="0" xfId="0" applyNumberFormat="1" applyFont="1" applyFill="1" applyBorder="1"/>
    <xf numFmtId="3" fontId="32" fillId="7" borderId="20" xfId="0" applyNumberFormat="1" applyFont="1" applyFill="1" applyBorder="1"/>
    <xf numFmtId="3" fontId="6" fillId="7" borderId="20" xfId="0" applyNumberFormat="1" applyFont="1" applyFill="1" applyBorder="1"/>
    <xf numFmtId="3" fontId="6" fillId="7" borderId="3" xfId="0" applyNumberFormat="1" applyFont="1" applyFill="1" applyBorder="1"/>
    <xf numFmtId="3" fontId="0" fillId="7" borderId="0" xfId="0" applyNumberFormat="1" applyFont="1" applyFill="1" applyBorder="1"/>
    <xf numFmtId="3" fontId="0" fillId="7" borderId="23" xfId="0" applyNumberFormat="1" applyFont="1" applyFill="1" applyBorder="1"/>
    <xf numFmtId="3" fontId="0" fillId="7" borderId="24" xfId="0" applyNumberFormat="1" applyFont="1" applyFill="1" applyBorder="1"/>
    <xf numFmtId="0" fontId="6" fillId="10" borderId="19" xfId="0" applyFont="1" applyFill="1" applyBorder="1"/>
    <xf numFmtId="0" fontId="0" fillId="10" borderId="20" xfId="0" applyFill="1" applyBorder="1"/>
    <xf numFmtId="3" fontId="0" fillId="7" borderId="20" xfId="0" applyNumberFormat="1" applyFill="1" applyBorder="1" applyAlignment="1"/>
    <xf numFmtId="3" fontId="0" fillId="7" borderId="3" xfId="0" applyNumberFormat="1" applyFill="1" applyBorder="1"/>
    <xf numFmtId="0" fontId="0" fillId="15" borderId="7" xfId="0" applyFill="1" applyBorder="1"/>
    <xf numFmtId="0" fontId="0" fillId="15" borderId="20" xfId="0" applyFill="1" applyBorder="1" applyAlignment="1">
      <alignment horizontal="center"/>
    </xf>
    <xf numFmtId="0" fontId="0" fillId="15" borderId="21" xfId="0" applyFill="1" applyBorder="1" applyAlignment="1">
      <alignment horizontal="center"/>
    </xf>
    <xf numFmtId="2" fontId="0" fillId="15" borderId="0" xfId="0" applyNumberFormat="1" applyFill="1" applyBorder="1"/>
    <xf numFmtId="0" fontId="0" fillId="7" borderId="20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6" fillId="55" borderId="3" xfId="0" applyFont="1" applyFill="1" applyBorder="1"/>
    <xf numFmtId="0" fontId="0" fillId="55" borderId="20" xfId="0" applyFill="1" applyBorder="1" applyAlignment="1">
      <alignment horizontal="center"/>
    </xf>
    <xf numFmtId="0" fontId="0" fillId="55" borderId="21" xfId="0" applyFill="1" applyBorder="1" applyAlignment="1">
      <alignment horizontal="center"/>
    </xf>
    <xf numFmtId="0" fontId="33" fillId="15" borderId="20" xfId="0" applyFont="1" applyFill="1" applyBorder="1"/>
    <xf numFmtId="0" fontId="33" fillId="15" borderId="21" xfId="0" applyFont="1" applyFill="1" applyBorder="1"/>
    <xf numFmtId="165" fontId="33" fillId="15" borderId="0" xfId="0" applyNumberFormat="1" applyFont="1" applyFill="1" applyBorder="1"/>
    <xf numFmtId="165" fontId="32" fillId="15" borderId="20" xfId="0" applyNumberFormat="1" applyFont="1" applyFill="1" applyBorder="1"/>
    <xf numFmtId="0" fontId="6" fillId="0" borderId="69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70" xfId="0" applyFont="1" applyBorder="1" applyAlignment="1">
      <alignment horizontal="left" wrapText="1"/>
    </xf>
    <xf numFmtId="0" fontId="32" fillId="53" borderId="69" xfId="0" applyFont="1" applyFill="1" applyBorder="1"/>
    <xf numFmtId="0" fontId="33" fillId="53" borderId="0" xfId="0" applyFont="1" applyFill="1" applyBorder="1"/>
    <xf numFmtId="0" fontId="33" fillId="53" borderId="70" xfId="0" applyFont="1" applyFill="1" applyBorder="1"/>
    <xf numFmtId="0" fontId="32" fillId="53" borderId="73" xfId="0" applyFont="1" applyFill="1" applyBorder="1"/>
    <xf numFmtId="3" fontId="32" fillId="53" borderId="74" xfId="1" applyNumberFormat="1" applyFont="1" applyFill="1" applyBorder="1"/>
    <xf numFmtId="0" fontId="33" fillId="53" borderId="75" xfId="0" applyFont="1" applyFill="1" applyBorder="1"/>
    <xf numFmtId="3" fontId="32" fillId="53" borderId="76" xfId="1" applyNumberFormat="1" applyFont="1" applyFill="1" applyBorder="1"/>
    <xf numFmtId="0" fontId="33" fillId="53" borderId="77" xfId="0" applyFont="1" applyFill="1" applyBorder="1"/>
    <xf numFmtId="0" fontId="32" fillId="53" borderId="78" xfId="0" applyFont="1" applyFill="1" applyBorder="1"/>
    <xf numFmtId="0" fontId="33" fillId="0" borderId="69" xfId="0" applyFont="1" applyBorder="1"/>
    <xf numFmtId="0" fontId="33" fillId="0" borderId="70" xfId="0" applyFont="1" applyBorder="1"/>
    <xf numFmtId="0" fontId="0" fillId="0" borderId="69" xfId="0" applyBorder="1"/>
    <xf numFmtId="0" fontId="0" fillId="0" borderId="70" xfId="0" applyBorder="1"/>
    <xf numFmtId="0" fontId="32" fillId="7" borderId="73" xfId="0" applyFont="1" applyFill="1" applyBorder="1"/>
    <xf numFmtId="0" fontId="33" fillId="7" borderId="74" xfId="0" applyFont="1" applyFill="1" applyBorder="1"/>
    <xf numFmtId="0" fontId="33" fillId="7" borderId="75" xfId="0" applyFont="1" applyFill="1" applyBorder="1"/>
    <xf numFmtId="3" fontId="33" fillId="7" borderId="76" xfId="0" applyNumberFormat="1" applyFont="1" applyFill="1" applyBorder="1"/>
    <xf numFmtId="3" fontId="32" fillId="7" borderId="74" xfId="0" applyNumberFormat="1" applyFont="1" applyFill="1" applyBorder="1"/>
    <xf numFmtId="0" fontId="32" fillId="15" borderId="73" xfId="0" applyFont="1" applyFill="1" applyBorder="1"/>
    <xf numFmtId="0" fontId="33" fillId="15" borderId="74" xfId="0" applyFont="1" applyFill="1" applyBorder="1"/>
    <xf numFmtId="0" fontId="33" fillId="15" borderId="75" xfId="0" applyFont="1" applyFill="1" applyBorder="1"/>
    <xf numFmtId="165" fontId="33" fillId="15" borderId="76" xfId="0" applyNumberFormat="1" applyFont="1" applyFill="1" applyBorder="1"/>
    <xf numFmtId="165" fontId="32" fillId="15" borderId="74" xfId="0" applyNumberFormat="1" applyFont="1" applyFill="1" applyBorder="1"/>
    <xf numFmtId="0" fontId="32" fillId="15" borderId="79" xfId="0" applyFont="1" applyFill="1" applyBorder="1"/>
    <xf numFmtId="165" fontId="32" fillId="15" borderId="32" xfId="0" applyNumberFormat="1" applyFont="1" applyFill="1" applyBorder="1"/>
    <xf numFmtId="165" fontId="32" fillId="15" borderId="80" xfId="0" applyNumberFormat="1" applyFont="1" applyFill="1" applyBorder="1"/>
    <xf numFmtId="2" fontId="0" fillId="15" borderId="26" xfId="0" applyNumberFormat="1" applyFill="1" applyBorder="1"/>
    <xf numFmtId="2" fontId="0" fillId="15" borderId="11" xfId="0" applyNumberFormat="1" applyFill="1" applyBorder="1"/>
    <xf numFmtId="2" fontId="0" fillId="15" borderId="12" xfId="0" applyNumberFormat="1" applyFill="1" applyBorder="1"/>
    <xf numFmtId="0" fontId="0" fillId="7" borderId="19" xfId="0" applyFill="1" applyBorder="1" applyAlignment="1">
      <alignment horizontal="center"/>
    </xf>
    <xf numFmtId="0" fontId="0" fillId="15" borderId="19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53" borderId="19" xfId="0" applyFill="1" applyBorder="1" applyAlignment="1">
      <alignment horizontal="center"/>
    </xf>
    <xf numFmtId="0" fontId="0" fillId="53" borderId="20" xfId="0" applyFill="1" applyBorder="1" applyAlignment="1">
      <alignment horizontal="center"/>
    </xf>
    <xf numFmtId="0" fontId="0" fillId="53" borderId="21" xfId="0" applyFill="1" applyBorder="1" applyAlignment="1">
      <alignment horizontal="center"/>
    </xf>
    <xf numFmtId="0" fontId="0" fillId="7" borderId="20" xfId="0" applyFont="1" applyFill="1" applyBorder="1" applyAlignment="1">
      <alignment horizontal="center"/>
    </xf>
    <xf numFmtId="0" fontId="0" fillId="7" borderId="21" xfId="0" applyFont="1" applyFill="1" applyBorder="1" applyAlignment="1">
      <alignment horizontal="center"/>
    </xf>
    <xf numFmtId="164" fontId="0" fillId="15" borderId="0" xfId="0" applyNumberForma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3" fontId="0" fillId="6" borderId="21" xfId="0" applyNumberFormat="1" applyFill="1" applyBorder="1"/>
    <xf numFmtId="0" fontId="6" fillId="13" borderId="4" xfId="0" applyFont="1" applyFill="1" applyBorder="1"/>
    <xf numFmtId="0" fontId="14" fillId="13" borderId="5" xfId="0" applyFont="1" applyFill="1" applyBorder="1"/>
    <xf numFmtId="0" fontId="0" fillId="13" borderId="6" xfId="0" applyFill="1" applyBorder="1"/>
    <xf numFmtId="0" fontId="14" fillId="6" borderId="10" xfId="0" applyFont="1" applyFill="1" applyBorder="1"/>
    <xf numFmtId="1" fontId="0" fillId="6" borderId="7" xfId="0" applyNumberFormat="1" applyFill="1" applyBorder="1"/>
    <xf numFmtId="3" fontId="0" fillId="6" borderId="19" xfId="0" applyNumberFormat="1" applyFont="1" applyFill="1" applyBorder="1"/>
    <xf numFmtId="3" fontId="0" fillId="6" borderId="10" xfId="0" applyNumberFormat="1" applyFont="1" applyFill="1" applyBorder="1"/>
    <xf numFmtId="0" fontId="6" fillId="0" borderId="0" xfId="0" applyFont="1" applyFill="1" applyBorder="1" applyAlignment="1"/>
    <xf numFmtId="1" fontId="6" fillId="0" borderId="0" xfId="0" applyNumberFormat="1" applyFont="1" applyFill="1" applyBorder="1"/>
    <xf numFmtId="0" fontId="7" fillId="0" borderId="7" xfId="0" applyFont="1" applyFill="1" applyBorder="1"/>
    <xf numFmtId="0" fontId="7" fillId="0" borderId="0" xfId="0" applyFont="1" applyBorder="1"/>
    <xf numFmtId="3" fontId="0" fillId="0" borderId="26" xfId="0" applyNumberFormat="1" applyBorder="1"/>
    <xf numFmtId="0" fontId="2" fillId="2" borderId="9" xfId="2" applyBorder="1"/>
    <xf numFmtId="0" fontId="14" fillId="0" borderId="0" xfId="0" applyFont="1" applyFill="1" applyBorder="1"/>
    <xf numFmtId="0" fontId="14" fillId="0" borderId="11" xfId="0" applyFont="1" applyFill="1" applyBorder="1"/>
    <xf numFmtId="3" fontId="0" fillId="53" borderId="0" xfId="0" applyNumberFormat="1" applyFill="1" applyBorder="1" applyAlignment="1"/>
    <xf numFmtId="3" fontId="0" fillId="53" borderId="26" xfId="0" applyNumberFormat="1" applyFill="1" applyBorder="1" applyAlignment="1"/>
    <xf numFmtId="3" fontId="0" fillId="53" borderId="11" xfId="0" applyNumberFormat="1" applyFill="1" applyBorder="1" applyAlignment="1"/>
    <xf numFmtId="3" fontId="0" fillId="53" borderId="12" xfId="0" applyNumberFormat="1" applyFill="1" applyBorder="1" applyAlignment="1"/>
    <xf numFmtId="1" fontId="0" fillId="15" borderId="0" xfId="0" applyNumberFormat="1" applyFill="1" applyBorder="1"/>
    <xf numFmtId="1" fontId="0" fillId="15" borderId="11" xfId="0" applyNumberFormat="1" applyFill="1" applyBorder="1"/>
    <xf numFmtId="1" fontId="6" fillId="15" borderId="20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0" fillId="6" borderId="5" xfId="0" applyFont="1" applyFill="1" applyBorder="1" applyAlignment="1">
      <alignment horizontal="left"/>
    </xf>
    <xf numFmtId="3" fontId="0" fillId="6" borderId="0" xfId="0" applyNumberFormat="1" applyFont="1" applyFill="1" applyBorder="1" applyAlignment="1">
      <alignment horizontal="right"/>
    </xf>
    <xf numFmtId="3" fontId="0" fillId="6" borderId="6" xfId="0" applyNumberFormat="1" applyFont="1" applyFill="1" applyBorder="1"/>
    <xf numFmtId="3" fontId="34" fillId="3" borderId="1" xfId="3" applyNumberFormat="1" applyFont="1"/>
    <xf numFmtId="3" fontId="34" fillId="0" borderId="53" xfId="6" applyNumberFormat="1" applyFont="1" applyBorder="1"/>
    <xf numFmtId="0" fontId="34" fillId="3" borderId="1" xfId="3" applyFont="1" applyBorder="1"/>
    <xf numFmtId="0" fontId="34" fillId="3" borderId="8" xfId="3" applyFont="1" applyBorder="1"/>
    <xf numFmtId="3" fontId="34" fillId="3" borderId="8" xfId="3" applyNumberFormat="1" applyFont="1" applyBorder="1"/>
    <xf numFmtId="3" fontId="34" fillId="3" borderId="1" xfId="3" applyNumberFormat="1" applyFont="1" applyBorder="1"/>
    <xf numFmtId="3" fontId="34" fillId="3" borderId="34" xfId="3" applyNumberFormat="1" applyFont="1" applyBorder="1"/>
    <xf numFmtId="3" fontId="34" fillId="3" borderId="35" xfId="3" applyNumberFormat="1" applyFont="1" applyBorder="1"/>
    <xf numFmtId="3" fontId="34" fillId="3" borderId="36" xfId="3" applyNumberFormat="1" applyFont="1" applyBorder="1"/>
    <xf numFmtId="3" fontId="34" fillId="3" borderId="59" xfId="3" applyNumberFormat="1" applyFont="1" applyBorder="1"/>
    <xf numFmtId="0" fontId="8" fillId="0" borderId="34" xfId="0" applyFont="1" applyBorder="1"/>
    <xf numFmtId="0" fontId="8" fillId="0" borderId="32" xfId="0" applyFont="1" applyBorder="1"/>
    <xf numFmtId="0" fontId="8" fillId="0" borderId="32" xfId="0" applyFont="1" applyFill="1" applyBorder="1"/>
    <xf numFmtId="0" fontId="8" fillId="0" borderId="33" xfId="0" applyFont="1" applyBorder="1"/>
    <xf numFmtId="3" fontId="34" fillId="3" borderId="37" xfId="3" applyNumberFormat="1" applyFont="1" applyBorder="1"/>
    <xf numFmtId="3" fontId="34" fillId="3" borderId="58" xfId="3" applyNumberFormat="1" applyFont="1" applyBorder="1"/>
    <xf numFmtId="164" fontId="6" fillId="6" borderId="24" xfId="0" applyNumberFormat="1" applyFont="1" applyFill="1" applyBorder="1"/>
    <xf numFmtId="3" fontId="6" fillId="6" borderId="12" xfId="0" applyNumberFormat="1" applyFont="1" applyFill="1" applyBorder="1"/>
    <xf numFmtId="0" fontId="0" fillId="0" borderId="65" xfId="0" applyFill="1" applyBorder="1"/>
    <xf numFmtId="164" fontId="0" fillId="6" borderId="65" xfId="0" applyNumberFormat="1" applyFill="1" applyBorder="1"/>
    <xf numFmtId="0" fontId="0" fillId="6" borderId="65" xfId="0" applyFill="1" applyBorder="1"/>
    <xf numFmtId="0" fontId="0" fillId="6" borderId="28" xfId="0" applyFill="1" applyBorder="1"/>
    <xf numFmtId="3" fontId="0" fillId="6" borderId="28" xfId="0" applyNumberFormat="1" applyFill="1" applyBorder="1"/>
    <xf numFmtId="164" fontId="0" fillId="6" borderId="3" xfId="0" applyNumberFormat="1" applyFill="1" applyBorder="1"/>
    <xf numFmtId="168" fontId="35" fillId="6" borderId="21" xfId="1" applyNumberFormat="1" applyFont="1" applyFill="1" applyBorder="1"/>
    <xf numFmtId="3" fontId="0" fillId="6" borderId="12" xfId="0" applyNumberFormat="1" applyFont="1" applyFill="1" applyBorder="1"/>
    <xf numFmtId="0" fontId="9" fillId="6" borderId="0" xfId="0" applyFont="1" applyFill="1" applyAlignment="1">
      <alignment vertical="top"/>
    </xf>
    <xf numFmtId="0" fontId="0" fillId="0" borderId="0" xfId="0" applyAlignment="1">
      <alignment vertical="top"/>
    </xf>
    <xf numFmtId="3" fontId="6" fillId="6" borderId="0" xfId="0" applyNumberFormat="1" applyFont="1" applyFill="1" applyBorder="1" applyAlignment="1">
      <alignment vertical="top"/>
    </xf>
    <xf numFmtId="0" fontId="0" fillId="6" borderId="0" xfId="0" applyFill="1" applyBorder="1" applyAlignment="1">
      <alignment vertical="top"/>
    </xf>
    <xf numFmtId="0" fontId="0" fillId="6" borderId="26" xfId="0" applyFill="1" applyBorder="1" applyAlignment="1">
      <alignment vertical="top"/>
    </xf>
    <xf numFmtId="0" fontId="0" fillId="0" borderId="0" xfId="0" applyBorder="1" applyAlignment="1">
      <alignment vertical="top"/>
    </xf>
    <xf numFmtId="0" fontId="9" fillId="6" borderId="7" xfId="0" applyFont="1" applyFill="1" applyBorder="1" applyAlignment="1">
      <alignment vertical="top"/>
    </xf>
    <xf numFmtId="3" fontId="0" fillId="6" borderId="5" xfId="0" applyNumberFormat="1" applyFill="1" applyBorder="1"/>
    <xf numFmtId="3" fontId="0" fillId="0" borderId="28" xfId="0" applyNumberFormat="1" applyBorder="1"/>
    <xf numFmtId="3" fontId="0" fillId="6" borderId="64" xfId="0" applyNumberFormat="1" applyFont="1" applyFill="1" applyBorder="1"/>
    <xf numFmtId="164" fontId="0" fillId="6" borderId="63" xfId="0" applyNumberFormat="1" applyFont="1" applyFill="1" applyBorder="1" applyAlignment="1"/>
    <xf numFmtId="164" fontId="0" fillId="6" borderId="64" xfId="0" applyNumberFormat="1" applyFont="1" applyFill="1" applyBorder="1" applyAlignment="1"/>
    <xf numFmtId="164" fontId="0" fillId="6" borderId="19" xfId="0" applyNumberFormat="1" applyFont="1" applyFill="1" applyBorder="1" applyAlignment="1"/>
    <xf numFmtId="164" fontId="0" fillId="6" borderId="21" xfId="0" applyNumberFormat="1" applyFont="1" applyFill="1" applyBorder="1" applyAlignment="1"/>
    <xf numFmtId="3" fontId="0" fillId="6" borderId="82" xfId="0" applyNumberFormat="1" applyFont="1" applyFill="1" applyBorder="1" applyAlignment="1"/>
    <xf numFmtId="164" fontId="0" fillId="6" borderId="81" xfId="0" applyNumberFormat="1" applyFont="1" applyFill="1" applyBorder="1" applyAlignment="1"/>
    <xf numFmtId="0" fontId="6" fillId="13" borderId="21" xfId="0" applyFont="1" applyFill="1" applyBorder="1"/>
    <xf numFmtId="3" fontId="6" fillId="6" borderId="3" xfId="0" applyNumberFormat="1" applyFont="1" applyFill="1" applyBorder="1"/>
    <xf numFmtId="3" fontId="6" fillId="6" borderId="24" xfId="0" applyNumberFormat="1" applyFont="1" applyFill="1" applyBorder="1"/>
    <xf numFmtId="9" fontId="2" fillId="2" borderId="83" xfId="1" applyFont="1" applyFill="1" applyBorder="1"/>
    <xf numFmtId="9" fontId="2" fillId="2" borderId="8" xfId="1" applyFont="1" applyFill="1" applyBorder="1"/>
    <xf numFmtId="9" fontId="2" fillId="2" borderId="84" xfId="1" applyFont="1" applyFill="1" applyBorder="1"/>
    <xf numFmtId="0" fontId="6" fillId="0" borderId="24" xfId="0" applyFont="1" applyFill="1" applyBorder="1"/>
    <xf numFmtId="0" fontId="14" fillId="6" borderId="7" xfId="0" applyFont="1" applyFill="1" applyBorder="1"/>
    <xf numFmtId="0" fontId="13" fillId="6" borderId="7" xfId="5" applyFont="1" applyFill="1" applyBorder="1"/>
    <xf numFmtId="0" fontId="2" fillId="2" borderId="1" xfId="2"/>
    <xf numFmtId="0" fontId="33" fillId="7" borderId="20" xfId="0" applyFont="1" applyFill="1" applyBorder="1" applyAlignment="1">
      <alignment horizontal="center"/>
    </xf>
    <xf numFmtId="2" fontId="7" fillId="2" borderId="3" xfId="2" applyNumberFormat="1" applyFont="1" applyBorder="1"/>
    <xf numFmtId="0" fontId="7" fillId="0" borderId="85" xfId="2" applyFont="1" applyFill="1" applyBorder="1"/>
    <xf numFmtId="3" fontId="7" fillId="2" borderId="3" xfId="1" applyNumberFormat="1" applyFont="1" applyFill="1" applyBorder="1" applyAlignment="1">
      <alignment horizontal="right"/>
    </xf>
    <xf numFmtId="4" fontId="7" fillId="0" borderId="0" xfId="1" applyNumberFormat="1" applyFont="1" applyFill="1" applyBorder="1"/>
    <xf numFmtId="3" fontId="6" fillId="13" borderId="3" xfId="0" applyNumberFormat="1" applyFont="1" applyFill="1" applyBorder="1"/>
    <xf numFmtId="3" fontId="6" fillId="0" borderId="26" xfId="0" applyNumberFormat="1" applyFont="1" applyFill="1" applyBorder="1"/>
    <xf numFmtId="3" fontId="6" fillId="14" borderId="21" xfId="0" applyNumberFormat="1" applyFont="1" applyFill="1" applyBorder="1"/>
    <xf numFmtId="3" fontId="0" fillId="52" borderId="21" xfId="0" applyNumberFormat="1" applyFill="1" applyBorder="1"/>
    <xf numFmtId="3" fontId="0" fillId="12" borderId="21" xfId="0" applyNumberFormat="1" applyFill="1" applyBorder="1"/>
    <xf numFmtId="3" fontId="0" fillId="53" borderId="24" xfId="0" applyNumberFormat="1" applyFill="1" applyBorder="1"/>
    <xf numFmtId="3" fontId="6" fillId="53" borderId="21" xfId="0" applyNumberFormat="1" applyFont="1" applyFill="1" applyBorder="1"/>
    <xf numFmtId="3" fontId="0" fillId="53" borderId="22" xfId="0" applyNumberFormat="1" applyFill="1" applyBorder="1"/>
    <xf numFmtId="3" fontId="0" fillId="54" borderId="21" xfId="0" applyNumberFormat="1" applyFill="1" applyBorder="1"/>
    <xf numFmtId="3" fontId="0" fillId="7" borderId="26" xfId="0" applyNumberFormat="1" applyFill="1" applyBorder="1"/>
    <xf numFmtId="3" fontId="0" fillId="7" borderId="3" xfId="0" applyNumberFormat="1" applyFill="1" applyBorder="1" applyAlignment="1">
      <alignment horizontal="center"/>
    </xf>
    <xf numFmtId="3" fontId="0" fillId="7" borderId="12" xfId="0" applyNumberFormat="1" applyFill="1" applyBorder="1"/>
    <xf numFmtId="3" fontId="0" fillId="54" borderId="21" xfId="0" applyNumberFormat="1" applyFill="1" applyBorder="1" applyAlignment="1">
      <alignment horizontal="center"/>
    </xf>
    <xf numFmtId="3" fontId="0" fillId="0" borderId="26" xfId="0" applyNumberFormat="1" applyFill="1" applyBorder="1"/>
    <xf numFmtId="3" fontId="0" fillId="0" borderId="23" xfId="0" applyNumberFormat="1" applyFill="1" applyBorder="1"/>
    <xf numFmtId="3" fontId="0" fillId="7" borderId="3" xfId="0" applyNumberFormat="1" applyFont="1" applyFill="1" applyBorder="1"/>
    <xf numFmtId="3" fontId="0" fillId="7" borderId="0" xfId="0" applyNumberFormat="1" applyFill="1"/>
    <xf numFmtId="3" fontId="0" fillId="10" borderId="21" xfId="0" applyNumberFormat="1" applyFill="1" applyBorder="1"/>
    <xf numFmtId="3" fontId="0" fillId="15" borderId="26" xfId="0" applyNumberFormat="1" applyFill="1" applyBorder="1"/>
    <xf numFmtId="3" fontId="0" fillId="15" borderId="3" xfId="0" applyNumberFormat="1" applyFill="1" applyBorder="1" applyAlignment="1">
      <alignment horizontal="center"/>
    </xf>
    <xf numFmtId="3" fontId="0" fillId="15" borderId="22" xfId="0" applyNumberFormat="1" applyFill="1" applyBorder="1"/>
    <xf numFmtId="3" fontId="0" fillId="15" borderId="6" xfId="0" applyNumberFormat="1" applyFill="1" applyBorder="1"/>
    <xf numFmtId="3" fontId="0" fillId="15" borderId="12" xfId="0" applyNumberFormat="1" applyFill="1" applyBorder="1"/>
    <xf numFmtId="3" fontId="6" fillId="55" borderId="3" xfId="0" applyNumberFormat="1" applyFont="1" applyFill="1" applyBorder="1"/>
    <xf numFmtId="3" fontId="0" fillId="15" borderId="3" xfId="0" applyNumberFormat="1" applyFill="1" applyBorder="1"/>
    <xf numFmtId="3" fontId="0" fillId="15" borderId="23" xfId="0" applyNumberFormat="1" applyFill="1" applyBorder="1"/>
    <xf numFmtId="3" fontId="6" fillId="15" borderId="3" xfId="0" applyNumberFormat="1" applyFont="1" applyFill="1" applyBorder="1"/>
    <xf numFmtId="3" fontId="0" fillId="18" borderId="21" xfId="0" applyNumberFormat="1" applyFill="1" applyBorder="1"/>
    <xf numFmtId="3" fontId="0" fillId="0" borderId="12" xfId="0" applyNumberFormat="1" applyBorder="1"/>
    <xf numFmtId="3" fontId="6" fillId="13" borderId="22" xfId="0" applyNumberFormat="1" applyFont="1" applyFill="1" applyBorder="1" applyAlignment="1">
      <alignment horizontal="center"/>
    </xf>
    <xf numFmtId="3" fontId="6" fillId="13" borderId="22" xfId="0" applyNumberFormat="1" applyFont="1" applyFill="1" applyBorder="1"/>
    <xf numFmtId="3" fontId="6" fillId="13" borderId="24" xfId="0" applyNumberFormat="1" applyFont="1" applyFill="1" applyBorder="1"/>
    <xf numFmtId="3" fontId="6" fillId="13" borderId="26" xfId="0" applyNumberFormat="1" applyFont="1" applyFill="1" applyBorder="1"/>
    <xf numFmtId="3" fontId="6" fillId="13" borderId="23" xfId="0" applyNumberFormat="1" applyFont="1" applyFill="1" applyBorder="1"/>
    <xf numFmtId="3" fontId="6" fillId="0" borderId="26" xfId="0" applyNumberFormat="1" applyFont="1" applyBorder="1"/>
    <xf numFmtId="3" fontId="6" fillId="13" borderId="24" xfId="0" quotePrefix="1" applyNumberFormat="1" applyFont="1" applyFill="1" applyBorder="1" applyAlignment="1">
      <alignment horizontal="right"/>
    </xf>
    <xf numFmtId="3" fontId="6" fillId="53" borderId="3" xfId="0" applyNumberFormat="1" applyFont="1" applyFill="1" applyBorder="1" applyAlignment="1">
      <alignment horizontal="center"/>
    </xf>
    <xf numFmtId="3" fontId="6" fillId="53" borderId="23" xfId="0" applyNumberFormat="1" applyFont="1" applyFill="1" applyBorder="1"/>
    <xf numFmtId="3" fontId="6" fillId="53" borderId="24" xfId="0" applyNumberFormat="1" applyFont="1" applyFill="1" applyBorder="1"/>
    <xf numFmtId="3" fontId="0" fillId="6" borderId="63" xfId="0" applyNumberFormat="1" applyFont="1" applyFill="1" applyBorder="1" applyAlignment="1">
      <alignment horizontal="right"/>
    </xf>
    <xf numFmtId="3" fontId="0" fillId="6" borderId="64" xfId="0" applyNumberFormat="1" applyFont="1" applyFill="1" applyBorder="1" applyAlignment="1">
      <alignment horizontal="right"/>
    </xf>
    <xf numFmtId="3" fontId="0" fillId="6" borderId="10" xfId="0" applyNumberFormat="1" applyFont="1" applyFill="1" applyBorder="1" applyAlignment="1">
      <alignment horizontal="right"/>
    </xf>
    <xf numFmtId="3" fontId="0" fillId="6" borderId="12" xfId="0" applyNumberFormat="1" applyFont="1" applyFill="1" applyBorder="1" applyAlignment="1">
      <alignment horizontal="right"/>
    </xf>
    <xf numFmtId="3" fontId="0" fillId="50" borderId="26" xfId="0" applyNumberFormat="1" applyFill="1" applyBorder="1" applyAlignment="1">
      <alignment horizontal="center"/>
    </xf>
    <xf numFmtId="0" fontId="6" fillId="6" borderId="19" xfId="0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6" fillId="6" borderId="20" xfId="0" applyFont="1" applyFill="1" applyBorder="1" applyAlignment="1">
      <alignment horizontal="center"/>
    </xf>
    <xf numFmtId="3" fontId="0" fillId="6" borderId="4" xfId="0" applyNumberFormat="1" applyFont="1" applyFill="1" applyBorder="1" applyAlignment="1">
      <alignment horizontal="right"/>
    </xf>
    <xf numFmtId="3" fontId="0" fillId="6" borderId="6" xfId="0" applyNumberFormat="1" applyFont="1" applyFill="1" applyBorder="1" applyAlignment="1">
      <alignment horizontal="right"/>
    </xf>
    <xf numFmtId="0" fontId="6" fillId="50" borderId="5" xfId="0" applyFont="1" applyFill="1" applyBorder="1" applyAlignment="1">
      <alignment horizontal="center"/>
    </xf>
    <xf numFmtId="0" fontId="6" fillId="50" borderId="6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0" fillId="6" borderId="19" xfId="0" applyNumberFormat="1" applyFont="1" applyFill="1" applyBorder="1" applyAlignment="1">
      <alignment horizontal="right"/>
    </xf>
    <xf numFmtId="3" fontId="0" fillId="6" borderId="21" xfId="0" applyNumberFormat="1" applyFont="1" applyFill="1" applyBorder="1" applyAlignment="1">
      <alignment horizontal="right"/>
    </xf>
    <xf numFmtId="3" fontId="0" fillId="50" borderId="11" xfId="0" applyNumberFormat="1" applyFill="1" applyBorder="1" applyAlignment="1">
      <alignment horizontal="center"/>
    </xf>
    <xf numFmtId="3" fontId="0" fillId="50" borderId="12" xfId="0" applyNumberFormat="1" applyFill="1" applyBorder="1" applyAlignment="1">
      <alignment horizontal="center"/>
    </xf>
    <xf numFmtId="0" fontId="0" fillId="50" borderId="26" xfId="0" applyFont="1" applyFill="1" applyBorder="1" applyAlignment="1">
      <alignment horizontal="center"/>
    </xf>
    <xf numFmtId="0" fontId="6" fillId="50" borderId="66" xfId="0" applyFont="1" applyFill="1" applyBorder="1" applyAlignment="1">
      <alignment horizontal="left" wrapText="1"/>
    </xf>
    <xf numFmtId="0" fontId="6" fillId="50" borderId="67" xfId="0" applyFont="1" applyFill="1" applyBorder="1" applyAlignment="1">
      <alignment horizontal="left" wrapText="1"/>
    </xf>
    <xf numFmtId="0" fontId="6" fillId="50" borderId="68" xfId="0" applyFont="1" applyFill="1" applyBorder="1" applyAlignment="1">
      <alignment horizontal="left" wrapText="1"/>
    </xf>
    <xf numFmtId="0" fontId="6" fillId="50" borderId="69" xfId="0" applyFont="1" applyFill="1" applyBorder="1" applyAlignment="1">
      <alignment horizontal="left" wrapText="1"/>
    </xf>
    <xf numFmtId="0" fontId="6" fillId="50" borderId="0" xfId="0" applyFont="1" applyFill="1" applyBorder="1" applyAlignment="1">
      <alignment horizontal="left" wrapText="1"/>
    </xf>
    <xf numFmtId="0" fontId="6" fillId="50" borderId="70" xfId="0" applyFont="1" applyFill="1" applyBorder="1" applyAlignment="1">
      <alignment horizontal="left" wrapText="1"/>
    </xf>
    <xf numFmtId="0" fontId="6" fillId="50" borderId="71" xfId="0" applyFont="1" applyFill="1" applyBorder="1" applyAlignment="1">
      <alignment horizontal="left" wrapText="1"/>
    </xf>
    <xf numFmtId="0" fontId="6" fillId="50" borderId="39" xfId="0" applyFont="1" applyFill="1" applyBorder="1" applyAlignment="1">
      <alignment horizontal="left" wrapText="1"/>
    </xf>
    <xf numFmtId="0" fontId="6" fillId="50" borderId="72" xfId="0" applyFont="1" applyFill="1" applyBorder="1" applyAlignment="1">
      <alignment horizontal="left" wrapText="1"/>
    </xf>
    <xf numFmtId="0" fontId="0" fillId="50" borderId="26" xfId="0" applyFill="1" applyBorder="1" applyAlignment="1">
      <alignment horizontal="center"/>
    </xf>
    <xf numFmtId="0" fontId="6" fillId="16" borderId="19" xfId="0" applyFont="1" applyFill="1" applyBorder="1" applyAlignment="1">
      <alignment horizontal="left"/>
    </xf>
    <xf numFmtId="0" fontId="6" fillId="16" borderId="20" xfId="0" applyFont="1" applyFill="1" applyBorder="1" applyAlignment="1">
      <alignment horizontal="left"/>
    </xf>
    <xf numFmtId="0" fontId="6" fillId="16" borderId="21" xfId="0" applyFont="1" applyFill="1" applyBorder="1" applyAlignment="1">
      <alignment horizontal="left"/>
    </xf>
    <xf numFmtId="0" fontId="0" fillId="50" borderId="4" xfId="4" applyFont="1" applyFill="1" applyBorder="1" applyAlignment="1">
      <alignment horizontal="left" wrapText="1"/>
    </xf>
    <xf numFmtId="0" fontId="0" fillId="50" borderId="5" xfId="4" applyFont="1" applyFill="1" applyBorder="1" applyAlignment="1">
      <alignment horizontal="left" wrapText="1"/>
    </xf>
    <xf numFmtId="0" fontId="0" fillId="50" borderId="6" xfId="4" applyFont="1" applyFill="1" applyBorder="1" applyAlignment="1">
      <alignment horizontal="left" wrapText="1"/>
    </xf>
    <xf numFmtId="0" fontId="0" fillId="50" borderId="10" xfId="4" applyFont="1" applyFill="1" applyBorder="1" applyAlignment="1">
      <alignment horizontal="left" wrapText="1"/>
    </xf>
    <xf numFmtId="0" fontId="0" fillId="50" borderId="11" xfId="4" applyFont="1" applyFill="1" applyBorder="1" applyAlignment="1">
      <alignment horizontal="left" wrapText="1"/>
    </xf>
    <xf numFmtId="0" fontId="0" fillId="50" borderId="12" xfId="4" applyFont="1" applyFill="1" applyBorder="1" applyAlignment="1">
      <alignment horizontal="left" wrapText="1"/>
    </xf>
    <xf numFmtId="0" fontId="7" fillId="2" borderId="3" xfId="2" applyFont="1" applyBorder="1" applyAlignment="1">
      <alignment horizontal="center"/>
    </xf>
    <xf numFmtId="0" fontId="0" fillId="4" borderId="2" xfId="4" applyFont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0" fillId="4" borderId="43" xfId="4" applyFont="1" applyBorder="1" applyAlignment="1">
      <alignment horizontal="left"/>
    </xf>
    <xf numFmtId="0" fontId="0" fillId="4" borderId="44" xfId="4" applyFont="1" applyBorder="1" applyAlignment="1">
      <alignment horizontal="left"/>
    </xf>
    <xf numFmtId="0" fontId="0" fillId="4" borderId="45" xfId="4" applyFont="1" applyBorder="1" applyAlignment="1">
      <alignment horizontal="left"/>
    </xf>
  </cellXfs>
  <cellStyles count="43">
    <cellStyle name="20 % - Färg1" xfId="20" builtinId="30" customBuiltin="1"/>
    <cellStyle name="20 % - Färg2" xfId="24" builtinId="34" customBuiltin="1"/>
    <cellStyle name="20 % - Färg3" xfId="28" builtinId="38" customBuiltin="1"/>
    <cellStyle name="20 % - Färg4" xfId="32" builtinId="42" customBuiltin="1"/>
    <cellStyle name="20 % - Färg5" xfId="36" builtinId="46" customBuiltin="1"/>
    <cellStyle name="20 % - Färg6" xfId="40" builtinId="50" customBuiltin="1"/>
    <cellStyle name="40 % - Färg1" xfId="21" builtinId="31" customBuiltin="1"/>
    <cellStyle name="40 % - Färg2" xfId="25" builtinId="35" customBuiltin="1"/>
    <cellStyle name="40 % - Färg3" xfId="29" builtinId="39" customBuiltin="1"/>
    <cellStyle name="40 % - Färg4" xfId="33" builtinId="43" customBuiltin="1"/>
    <cellStyle name="40 % - Färg5" xfId="37" builtinId="47" customBuiltin="1"/>
    <cellStyle name="40 % - Färg6" xfId="41" builtinId="51" customBuiltin="1"/>
    <cellStyle name="60 % - Färg1" xfId="22" builtinId="32" customBuiltin="1"/>
    <cellStyle name="60 % - Färg2" xfId="26" builtinId="36" customBuiltin="1"/>
    <cellStyle name="60 % - Färg3" xfId="30" builtinId="40" customBuiltin="1"/>
    <cellStyle name="60 % - Färg4" xfId="34" builtinId="44" customBuiltin="1"/>
    <cellStyle name="60 % - Färg5" xfId="38" builtinId="48" customBuiltin="1"/>
    <cellStyle name="60 % - Färg6" xfId="42" builtinId="52" customBuiltin="1"/>
    <cellStyle name="Anteckning" xfId="4" builtinId="10" customBuiltin="1"/>
    <cellStyle name="Beräkning" xfId="3" builtinId="22" customBuiltin="1"/>
    <cellStyle name="Bra" xfId="12" builtinId="26" customBuiltin="1"/>
    <cellStyle name="Dålig" xfId="13" builtinId="27" customBuiltin="1"/>
    <cellStyle name="Färg1" xfId="19" builtinId="29" customBuiltin="1"/>
    <cellStyle name="Färg2" xfId="23" builtinId="33" customBuiltin="1"/>
    <cellStyle name="Färg3" xfId="27" builtinId="37" customBuiltin="1"/>
    <cellStyle name="Färg4" xfId="31" builtinId="41" customBuiltin="1"/>
    <cellStyle name="Färg5" xfId="35" builtinId="45" customBuiltin="1"/>
    <cellStyle name="Färg6" xfId="39" builtinId="49" customBuiltin="1"/>
    <cellStyle name="Förklarande text" xfId="5" builtinId="53" customBuiltin="1"/>
    <cellStyle name="Indata" xfId="2" builtinId="20" customBuiltin="1"/>
    <cellStyle name="Kontrollcell" xfId="16" builtinId="23" customBuiltin="1"/>
    <cellStyle name="Länkad cell" xfId="6" builtinId="24" customBuiltin="1"/>
    <cellStyle name="Neutral" xfId="14" builtinId="28" customBuiltin="1"/>
    <cellStyle name="Normal" xfId="0" builtinId="0"/>
    <cellStyle name="Procent" xfId="1" builtinId="5"/>
    <cellStyle name="Rubrik" xfId="7" builtinId="15" customBuiltin="1"/>
    <cellStyle name="Rubrik 1" xfId="8" builtinId="16" customBuiltin="1"/>
    <cellStyle name="Rubrik 2" xfId="9" builtinId="17" customBuiltin="1"/>
    <cellStyle name="Rubrik 3" xfId="10" builtinId="18" customBuiltin="1"/>
    <cellStyle name="Rubrik 4" xfId="11" builtinId="19" customBuiltin="1"/>
    <cellStyle name="Summa" xfId="18" builtinId="25" customBuiltin="1"/>
    <cellStyle name="Utdata" xfId="15" builtinId="21" customBuiltin="1"/>
    <cellStyle name="Varningstext" xfId="17" builtinId="11" customBuiltin="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ADFDA9"/>
        </patternFill>
      </fill>
    </dxf>
  </dxfs>
  <tableStyles count="0" defaultTableStyle="TableStyleMedium2" defaultPivotStyle="PivotStyleLight16"/>
  <colors>
    <mruColors>
      <color rgb="FFFFFFCC"/>
      <color rgb="FFADFDA9"/>
      <color rgb="FFFF99FF"/>
      <color rgb="FF6600CC"/>
      <color rgb="FF6666FF"/>
      <color rgb="FF6600FF"/>
      <color rgb="FFF08E84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8</xdr:row>
      <xdr:rowOff>114299</xdr:rowOff>
    </xdr:from>
    <xdr:to>
      <xdr:col>10</xdr:col>
      <xdr:colOff>38100</xdr:colOff>
      <xdr:row>25</xdr:row>
      <xdr:rowOff>123824</xdr:rowOff>
    </xdr:to>
    <xdr:sp macro="" textlink="">
      <xdr:nvSpPr>
        <xdr:cNvPr id="11" name="Rektangel med rundade hörn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723900" y="1590674"/>
          <a:ext cx="3705225" cy="3248025"/>
        </a:xfrm>
        <a:prstGeom prst="roundRect">
          <a:avLst>
            <a:gd name="adj" fmla="val 4644"/>
          </a:avLst>
        </a:prstGeom>
        <a:solidFill>
          <a:schemeClr val="bg1"/>
        </a:solidFill>
        <a:ln w="38100">
          <a:solidFill>
            <a:schemeClr val="accent1">
              <a:lumMod val="7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7200" tIns="7200" rIns="7200" bIns="7200" rtlCol="0" anchor="t"/>
        <a:lstStyle/>
        <a:p>
          <a:pPr algn="l"/>
          <a:endParaRPr lang="sv-SE" sz="800">
            <a:solidFill>
              <a:sysClr val="windowText" lastClr="000000"/>
            </a:solidFill>
          </a:endParaRPr>
        </a:p>
        <a:p>
          <a:pPr algn="l"/>
          <a:r>
            <a:rPr lang="sv-SE" sz="800">
              <a:solidFill>
                <a:sysClr val="windowText" lastClr="000000"/>
              </a:solidFill>
            </a:rPr>
            <a:t>   </a:t>
          </a:r>
          <a:r>
            <a:rPr lang="sv-SE" sz="1100" b="1">
              <a:solidFill>
                <a:sysClr val="windowText" lastClr="000000"/>
              </a:solidFill>
            </a:rPr>
            <a:t>INDATA</a:t>
          </a:r>
        </a:p>
      </xdr:txBody>
    </xdr:sp>
    <xdr:clientData/>
  </xdr:twoCellAnchor>
  <xdr:twoCellAnchor editAs="oneCell">
    <xdr:from>
      <xdr:col>0</xdr:col>
      <xdr:colOff>999798</xdr:colOff>
      <xdr:row>11</xdr:row>
      <xdr:rowOff>152400</xdr:rowOff>
    </xdr:from>
    <xdr:to>
      <xdr:col>9</xdr:col>
      <xdr:colOff>57150</xdr:colOff>
      <xdr:row>24</xdr:row>
      <xdr:rowOff>76996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798" y="2200275"/>
          <a:ext cx="3219777" cy="2401096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9</xdr:row>
      <xdr:rowOff>123825</xdr:rowOff>
    </xdr:from>
    <xdr:to>
      <xdr:col>9</xdr:col>
      <xdr:colOff>86175</xdr:colOff>
      <xdr:row>11</xdr:row>
      <xdr:rowOff>66675</xdr:rowOff>
    </xdr:to>
    <xdr:sp macro="" textlink="">
      <xdr:nvSpPr>
        <xdr:cNvPr id="3" name="Rundad rektangulär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3171825" y="1628775"/>
          <a:ext cx="1000575" cy="323850"/>
        </a:xfrm>
        <a:prstGeom prst="wedgeRoundRectCallout">
          <a:avLst>
            <a:gd name="adj1" fmla="val -3452"/>
            <a:gd name="adj2" fmla="val 141911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7200" tIns="7200" rIns="7200" bIns="7200" rtlCol="0" anchor="ctr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1) Fastighetens behov</a:t>
          </a:r>
        </a:p>
      </xdr:txBody>
    </xdr:sp>
    <xdr:clientData/>
  </xdr:twoCellAnchor>
  <xdr:twoCellAnchor>
    <xdr:from>
      <xdr:col>0</xdr:col>
      <xdr:colOff>876299</xdr:colOff>
      <xdr:row>18</xdr:row>
      <xdr:rowOff>28575</xdr:rowOff>
    </xdr:from>
    <xdr:to>
      <xdr:col>2</xdr:col>
      <xdr:colOff>276674</xdr:colOff>
      <xdr:row>19</xdr:row>
      <xdr:rowOff>161925</xdr:rowOff>
    </xdr:to>
    <xdr:sp macro="" textlink="">
      <xdr:nvSpPr>
        <xdr:cNvPr id="4" name="Rundad rektangulär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876299" y="3409950"/>
          <a:ext cx="972000" cy="323850"/>
        </a:xfrm>
        <a:prstGeom prst="wedgeRoundRectCallout">
          <a:avLst>
            <a:gd name="adj1" fmla="val -5000"/>
            <a:gd name="adj2" fmla="val -116912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7200" tIns="7200" rIns="7200" bIns="7200" rtlCol="0" anchor="ctr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2) Produktionsdata</a:t>
          </a:r>
        </a:p>
      </xdr:txBody>
    </xdr:sp>
    <xdr:clientData/>
  </xdr:twoCellAnchor>
  <xdr:twoCellAnchor>
    <xdr:from>
      <xdr:col>6</xdr:col>
      <xdr:colOff>304800</xdr:colOff>
      <xdr:row>23</xdr:row>
      <xdr:rowOff>19050</xdr:rowOff>
    </xdr:from>
    <xdr:to>
      <xdr:col>9</xdr:col>
      <xdr:colOff>219525</xdr:colOff>
      <xdr:row>24</xdr:row>
      <xdr:rowOff>152400</xdr:rowOff>
    </xdr:to>
    <xdr:sp macro="" textlink="">
      <xdr:nvSpPr>
        <xdr:cNvPr id="5" name="Rundad rektangulär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3305175" y="4191000"/>
          <a:ext cx="1000575" cy="323850"/>
        </a:xfrm>
        <a:prstGeom prst="wedgeRoundRectCallout">
          <a:avLst>
            <a:gd name="adj1" fmla="val -13814"/>
            <a:gd name="adj2" fmla="val -2206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7200" tIns="7200" rIns="7200" bIns="7200" rtlCol="0" anchor="ctr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3) Ekonomi</a:t>
          </a:r>
        </a:p>
      </xdr:txBody>
    </xdr:sp>
    <xdr:clientData/>
  </xdr:twoCellAnchor>
  <xdr:twoCellAnchor>
    <xdr:from>
      <xdr:col>3</xdr:col>
      <xdr:colOff>114300</xdr:colOff>
      <xdr:row>31</xdr:row>
      <xdr:rowOff>85725</xdr:rowOff>
    </xdr:from>
    <xdr:to>
      <xdr:col>6</xdr:col>
      <xdr:colOff>29025</xdr:colOff>
      <xdr:row>33</xdr:row>
      <xdr:rowOff>28575</xdr:rowOff>
    </xdr:to>
    <xdr:sp macro="" textlink="">
      <xdr:nvSpPr>
        <xdr:cNvPr id="7" name="Rundad rektangulär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2038350" y="5943600"/>
          <a:ext cx="972000" cy="323850"/>
        </a:xfrm>
        <a:prstGeom prst="wedgeRoundRectCallout">
          <a:avLst>
            <a:gd name="adj1" fmla="val -23333"/>
            <a:gd name="adj2" fmla="val -3455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>
          <a:solidFill>
            <a:schemeClr val="accent1">
              <a:lumMod val="50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7200" tIns="7200" rIns="7200" bIns="7200" rtlCol="0" anchor="ctr"/>
        <a:lstStyle/>
        <a:p>
          <a:pPr algn="ctr"/>
          <a:r>
            <a:rPr lang="sv-SE" sz="800" b="1">
              <a:solidFill>
                <a:sysClr val="windowText" lastClr="000000"/>
              </a:solidFill>
            </a:rPr>
            <a:t>UTDATA</a:t>
          </a:r>
        </a:p>
      </xdr:txBody>
    </xdr:sp>
    <xdr:clientData/>
  </xdr:twoCellAnchor>
  <xdr:twoCellAnchor>
    <xdr:from>
      <xdr:col>1</xdr:col>
      <xdr:colOff>304800</xdr:colOff>
      <xdr:row>27</xdr:row>
      <xdr:rowOff>104775</xdr:rowOff>
    </xdr:from>
    <xdr:to>
      <xdr:col>4</xdr:col>
      <xdr:colOff>219525</xdr:colOff>
      <xdr:row>29</xdr:row>
      <xdr:rowOff>47625</xdr:rowOff>
    </xdr:to>
    <xdr:sp macro="" textlink="">
      <xdr:nvSpPr>
        <xdr:cNvPr id="8" name="Rundad rektangulä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1524000" y="5200650"/>
          <a:ext cx="972000" cy="323850"/>
        </a:xfrm>
        <a:prstGeom prst="wedgeRoundRectCallout">
          <a:avLst>
            <a:gd name="adj1" fmla="val -23333"/>
            <a:gd name="adj2" fmla="val -3455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12700">
          <a:solidFill>
            <a:schemeClr val="accent4">
              <a:lumMod val="50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7200" tIns="7200" rIns="7200" bIns="7200" rtlCol="0" anchor="ctr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Ändringsbara</a:t>
          </a:r>
          <a:r>
            <a:rPr lang="sv-SE" sz="800" baseline="0">
              <a:solidFill>
                <a:sysClr val="windowText" lastClr="000000"/>
              </a:solidFill>
            </a:rPr>
            <a:t> parametrer</a:t>
          </a:r>
          <a:endParaRPr lang="sv-SE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27384</xdr:colOff>
      <xdr:row>25</xdr:row>
      <xdr:rowOff>79771</xdr:rowOff>
    </xdr:from>
    <xdr:to>
      <xdr:col>5</xdr:col>
      <xdr:colOff>103584</xdr:colOff>
      <xdr:row>27</xdr:row>
      <xdr:rowOff>125015</xdr:rowOff>
    </xdr:to>
    <xdr:sp macro="" textlink="">
      <xdr:nvSpPr>
        <xdr:cNvPr id="9" name="Multiplicera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2303859" y="4794646"/>
          <a:ext cx="428625" cy="426244"/>
        </a:xfrm>
        <a:prstGeom prst="mathMultiply">
          <a:avLst>
            <a:gd name="adj1" fmla="val 13727"/>
          </a:avLst>
        </a:prstGeom>
        <a:solidFill>
          <a:schemeClr val="bg1">
            <a:lumMod val="65000"/>
          </a:schemeClr>
        </a:solidFill>
        <a:ln w="952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4743</xdr:colOff>
      <xdr:row>29</xdr:row>
      <xdr:rowOff>57150</xdr:rowOff>
    </xdr:from>
    <xdr:to>
      <xdr:col>5</xdr:col>
      <xdr:colOff>88126</xdr:colOff>
      <xdr:row>31</xdr:row>
      <xdr:rowOff>109536</xdr:rowOff>
    </xdr:to>
    <xdr:sp macro="" textlink="">
      <xdr:nvSpPr>
        <xdr:cNvPr id="10" name="Lika med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2281218" y="5534025"/>
          <a:ext cx="435808" cy="433386"/>
        </a:xfrm>
        <a:prstGeom prst="mathEqual">
          <a:avLst>
            <a:gd name="adj1" fmla="val 12347"/>
            <a:gd name="adj2" fmla="val 15966"/>
          </a:avLst>
        </a:prstGeom>
        <a:solidFill>
          <a:schemeClr val="bg1">
            <a:lumMod val="65000"/>
          </a:schemeClr>
        </a:solidFill>
        <a:ln w="952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285750</xdr:colOff>
      <xdr:row>27</xdr:row>
      <xdr:rowOff>104775</xdr:rowOff>
    </xdr:from>
    <xdr:to>
      <xdr:col>7</xdr:col>
      <xdr:colOff>200475</xdr:colOff>
      <xdr:row>29</xdr:row>
      <xdr:rowOff>47625</xdr:rowOff>
    </xdr:to>
    <xdr:sp macro="" textlink="">
      <xdr:nvSpPr>
        <xdr:cNvPr id="12" name="Rundad rektangulär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2562225" y="5200650"/>
          <a:ext cx="972000" cy="323850"/>
        </a:xfrm>
        <a:prstGeom prst="wedgeRoundRectCallout">
          <a:avLst>
            <a:gd name="adj1" fmla="val -23333"/>
            <a:gd name="adj2" fmla="val -34559"/>
            <a:gd name="adj3" fmla="val 16667"/>
          </a:avLst>
        </a:prstGeom>
        <a:solidFill>
          <a:schemeClr val="bg1">
            <a:lumMod val="85000"/>
          </a:schemeClr>
        </a:solidFill>
        <a:ln w="127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7200" tIns="7200" rIns="7200" bIns="7200" rtlCol="0" anchor="ctr"/>
        <a:lstStyle/>
        <a:p>
          <a:pPr algn="ctr"/>
          <a:r>
            <a:rPr lang="sv-SE" sz="800" baseline="0">
              <a:solidFill>
                <a:sysClr val="windowText" lastClr="000000"/>
              </a:solidFill>
            </a:rPr>
            <a:t>låsta parametrer</a:t>
          </a:r>
          <a:endParaRPr lang="sv-SE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42</xdr:row>
      <xdr:rowOff>85725</xdr:rowOff>
    </xdr:from>
    <xdr:to>
      <xdr:col>3</xdr:col>
      <xdr:colOff>486975</xdr:colOff>
      <xdr:row>54</xdr:row>
      <xdr:rowOff>38101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1487150"/>
          <a:ext cx="3001575" cy="2238376"/>
        </a:xfrm>
        <a:prstGeom prst="rect">
          <a:avLst/>
        </a:prstGeom>
      </xdr:spPr>
    </xdr:pic>
    <xdr:clientData/>
  </xdr:twoCellAnchor>
  <xdr:twoCellAnchor>
    <xdr:from>
      <xdr:col>1</xdr:col>
      <xdr:colOff>487119</xdr:colOff>
      <xdr:row>42</xdr:row>
      <xdr:rowOff>150924</xdr:rowOff>
    </xdr:from>
    <xdr:to>
      <xdr:col>2</xdr:col>
      <xdr:colOff>203619</xdr:colOff>
      <xdr:row>44</xdr:row>
      <xdr:rowOff>57924</xdr:rowOff>
    </xdr:to>
    <xdr:sp macro="" textlink="">
      <xdr:nvSpPr>
        <xdr:cNvPr id="9" name="Sjuhörning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2639769" y="7885224"/>
          <a:ext cx="307050" cy="288000"/>
        </a:xfrm>
        <a:prstGeom prst="heptagon">
          <a:avLst/>
        </a:prstGeom>
        <a:ln w="9525">
          <a:solidFill>
            <a:schemeClr val="tx1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200" b="1">
              <a:solidFill>
                <a:sysClr val="windowText" lastClr="000000"/>
              </a:solidFill>
            </a:rPr>
            <a:t>A</a:t>
          </a:r>
        </a:p>
      </xdr:txBody>
    </xdr:sp>
    <xdr:clientData/>
  </xdr:twoCellAnchor>
  <xdr:twoCellAnchor>
    <xdr:from>
      <xdr:col>0</xdr:col>
      <xdr:colOff>1502011</xdr:colOff>
      <xdr:row>49</xdr:row>
      <xdr:rowOff>171198</xdr:rowOff>
    </xdr:from>
    <xdr:to>
      <xdr:col>0</xdr:col>
      <xdr:colOff>1790011</xdr:colOff>
      <xdr:row>51</xdr:row>
      <xdr:rowOff>78198</xdr:rowOff>
    </xdr:to>
    <xdr:sp macro="" textlink="">
      <xdr:nvSpPr>
        <xdr:cNvPr id="5" name="Sjuhörning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1502011" y="9238998"/>
          <a:ext cx="288000" cy="288000"/>
        </a:xfrm>
        <a:prstGeom prst="heptagon">
          <a:avLst/>
        </a:prstGeom>
        <a:ln w="9525">
          <a:solidFill>
            <a:schemeClr val="tx1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200" b="1">
              <a:solidFill>
                <a:sysClr val="windowText" lastClr="000000"/>
              </a:solidFill>
            </a:rPr>
            <a:t>C</a:t>
          </a:r>
        </a:p>
      </xdr:txBody>
    </xdr:sp>
    <xdr:clientData/>
  </xdr:twoCellAnchor>
  <xdr:twoCellAnchor>
    <xdr:from>
      <xdr:col>0</xdr:col>
      <xdr:colOff>981299</xdr:colOff>
      <xdr:row>49</xdr:row>
      <xdr:rowOff>75948</xdr:rowOff>
    </xdr:from>
    <xdr:to>
      <xdr:col>0</xdr:col>
      <xdr:colOff>1269299</xdr:colOff>
      <xdr:row>50</xdr:row>
      <xdr:rowOff>173448</xdr:rowOff>
    </xdr:to>
    <xdr:sp macro="" textlink="">
      <xdr:nvSpPr>
        <xdr:cNvPr id="6" name="Sjuhörning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981299" y="10077198"/>
          <a:ext cx="288000" cy="288000"/>
        </a:xfrm>
        <a:prstGeom prst="heptagon">
          <a:avLst/>
        </a:prstGeom>
        <a:ln w="9525">
          <a:solidFill>
            <a:schemeClr val="tx1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200" b="1">
              <a:solidFill>
                <a:sysClr val="windowText" lastClr="000000"/>
              </a:solidFill>
            </a:rPr>
            <a:t>D</a:t>
          </a:r>
        </a:p>
      </xdr:txBody>
    </xdr:sp>
    <xdr:clientData/>
  </xdr:twoCellAnchor>
  <xdr:twoCellAnchor>
    <xdr:from>
      <xdr:col>2</xdr:col>
      <xdr:colOff>114300</xdr:colOff>
      <xdr:row>44</xdr:row>
      <xdr:rowOff>57150</xdr:rowOff>
    </xdr:from>
    <xdr:to>
      <xdr:col>2</xdr:col>
      <xdr:colOff>114300</xdr:colOff>
      <xdr:row>48</xdr:row>
      <xdr:rowOff>15150</xdr:rowOff>
    </xdr:to>
    <xdr:cxnSp macro="">
      <xdr:nvCxnSpPr>
        <xdr:cNvPr id="10" name="Rak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CxnSpPr/>
      </xdr:nvCxnSpPr>
      <xdr:spPr>
        <a:xfrm>
          <a:off x="2781300" y="11839575"/>
          <a:ext cx="0" cy="72000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2047875</xdr:colOff>
      <xdr:row>44</xdr:row>
      <xdr:rowOff>57150</xdr:rowOff>
    </xdr:from>
    <xdr:to>
      <xdr:col>0</xdr:col>
      <xdr:colOff>2047875</xdr:colOff>
      <xdr:row>48</xdr:row>
      <xdr:rowOff>15150</xdr:rowOff>
    </xdr:to>
    <xdr:cxnSp macro="">
      <xdr:nvCxnSpPr>
        <xdr:cNvPr id="11" name="Rak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CxnSpPr/>
      </xdr:nvCxnSpPr>
      <xdr:spPr>
        <a:xfrm>
          <a:off x="2047875" y="11458575"/>
          <a:ext cx="0" cy="72000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1840590</xdr:colOff>
      <xdr:row>42</xdr:row>
      <xdr:rowOff>169974</xdr:rowOff>
    </xdr:from>
    <xdr:to>
      <xdr:col>0</xdr:col>
      <xdr:colOff>2128590</xdr:colOff>
      <xdr:row>44</xdr:row>
      <xdr:rowOff>76974</xdr:rowOff>
    </xdr:to>
    <xdr:sp macro="" textlink="">
      <xdr:nvSpPr>
        <xdr:cNvPr id="12" name="Sjuhörning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>
        <a:xfrm>
          <a:off x="1840590" y="7904274"/>
          <a:ext cx="288000" cy="288000"/>
        </a:xfrm>
        <a:prstGeom prst="heptagon">
          <a:avLst/>
        </a:prstGeom>
        <a:ln w="9525">
          <a:solidFill>
            <a:schemeClr val="tx1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200" b="1">
              <a:solidFill>
                <a:sysClr val="windowText" lastClr="000000"/>
              </a:solidFill>
            </a:rPr>
            <a:t>B</a:t>
          </a:r>
        </a:p>
      </xdr:txBody>
    </xdr:sp>
    <xdr:clientData/>
  </xdr:twoCellAnchor>
  <xdr:twoCellAnchor>
    <xdr:from>
      <xdr:col>0</xdr:col>
      <xdr:colOff>1655118</xdr:colOff>
      <xdr:row>49</xdr:row>
      <xdr:rowOff>34531</xdr:rowOff>
    </xdr:from>
    <xdr:to>
      <xdr:col>2</xdr:col>
      <xdr:colOff>225036</xdr:colOff>
      <xdr:row>49</xdr:row>
      <xdr:rowOff>142624</xdr:rowOff>
    </xdr:to>
    <xdr:cxnSp macro="">
      <xdr:nvCxnSpPr>
        <xdr:cNvPr id="19" name="Vinklad 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CxnSpPr/>
      </xdr:nvCxnSpPr>
      <xdr:spPr>
        <a:xfrm rot="5400000" flipH="1" flipV="1">
          <a:off x="2219530" y="12205044"/>
          <a:ext cx="108093" cy="1236918"/>
        </a:xfrm>
        <a:prstGeom prst="bentConnector2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720968</xdr:colOff>
      <xdr:row>48</xdr:row>
      <xdr:rowOff>149655</xdr:rowOff>
    </xdr:from>
    <xdr:to>
      <xdr:col>0</xdr:col>
      <xdr:colOff>1116968</xdr:colOff>
      <xdr:row>49</xdr:row>
      <xdr:rowOff>67155</xdr:rowOff>
    </xdr:to>
    <xdr:cxnSp macro="">
      <xdr:nvCxnSpPr>
        <xdr:cNvPr id="24" name="Vinklad 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rot="16200000" flipV="1">
          <a:off x="864968" y="12550080"/>
          <a:ext cx="108000" cy="396000"/>
        </a:xfrm>
        <a:prstGeom prst="bentConnector2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39997558519241921"/>
  </sheetPr>
  <dimension ref="A1:AC81"/>
  <sheetViews>
    <sheetView tabSelected="1" workbookViewId="0">
      <selection activeCell="P6" sqref="P6"/>
    </sheetView>
  </sheetViews>
  <sheetFormatPr baseColWidth="10" defaultColWidth="8.83203125" defaultRowHeight="15" x14ac:dyDescent="0.2"/>
  <cols>
    <col min="1" max="1" width="17.83203125" customWidth="1"/>
    <col min="2" max="13" width="5.33203125" customWidth="1"/>
    <col min="14" max="14" width="5.1640625" customWidth="1"/>
  </cols>
  <sheetData>
    <row r="1" spans="1:29" s="297" customFormat="1" ht="19" x14ac:dyDescent="0.25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7"/>
    </row>
    <row r="2" spans="1:29" s="1" customFormat="1" ht="11" x14ac:dyDescent="0.15">
      <c r="A2" s="123" t="s">
        <v>417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</row>
    <row r="3" spans="1:29" s="1" customFormat="1" ht="11" x14ac:dyDescent="0.15">
      <c r="A3" s="117" t="s">
        <v>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</row>
    <row r="4" spans="1:29" s="1" customFormat="1" ht="11" x14ac:dyDescent="0.15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9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</row>
    <row r="5" spans="1:29" s="1" customFormat="1" ht="11" x14ac:dyDescent="0.15">
      <c r="A5" s="117" t="s">
        <v>392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9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</row>
    <row r="6" spans="1:29" s="1" customFormat="1" ht="11" x14ac:dyDescent="0.15">
      <c r="A6" s="117" t="s">
        <v>393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9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</row>
    <row r="7" spans="1:29" x14ac:dyDescent="0.2">
      <c r="A7" s="7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</row>
    <row r="8" spans="1:29" s="68" customFormat="1" x14ac:dyDescent="0.2">
      <c r="A8" s="162" t="s">
        <v>9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4"/>
    </row>
    <row r="9" spans="1:29" x14ac:dyDescent="0.2">
      <c r="A9" s="75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4"/>
    </row>
    <row r="10" spans="1:29" x14ac:dyDescent="0.2">
      <c r="A10" s="75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4"/>
    </row>
    <row r="11" spans="1:29" x14ac:dyDescent="0.2">
      <c r="A11" s="75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4"/>
    </row>
    <row r="12" spans="1:29" x14ac:dyDescent="0.2">
      <c r="A12" s="75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4"/>
    </row>
    <row r="13" spans="1:29" x14ac:dyDescent="0.2">
      <c r="A13" s="75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4"/>
    </row>
    <row r="14" spans="1:29" x14ac:dyDescent="0.2">
      <c r="A14" s="75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4"/>
    </row>
    <row r="15" spans="1:29" x14ac:dyDescent="0.2">
      <c r="A15" s="75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4"/>
    </row>
    <row r="16" spans="1:29" x14ac:dyDescent="0.2">
      <c r="A16" s="75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4"/>
    </row>
    <row r="17" spans="1:14" x14ac:dyDescent="0.2">
      <c r="A17" s="75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4"/>
    </row>
    <row r="18" spans="1:14" x14ac:dyDescent="0.2">
      <c r="A18" s="75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4"/>
    </row>
    <row r="19" spans="1:14" x14ac:dyDescent="0.2">
      <c r="A19" s="75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4"/>
    </row>
    <row r="20" spans="1:14" x14ac:dyDescent="0.2">
      <c r="A20" s="75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4"/>
    </row>
    <row r="21" spans="1:14" x14ac:dyDescent="0.2">
      <c r="A21" s="75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4"/>
    </row>
    <row r="22" spans="1:14" x14ac:dyDescent="0.2">
      <c r="A22" s="75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4"/>
    </row>
    <row r="23" spans="1:14" x14ac:dyDescent="0.2">
      <c r="A23" s="75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4"/>
    </row>
    <row r="24" spans="1:14" x14ac:dyDescent="0.2">
      <c r="A24" s="75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4"/>
    </row>
    <row r="25" spans="1:14" x14ac:dyDescent="0.2">
      <c r="A25" s="75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4"/>
    </row>
    <row r="26" spans="1:14" x14ac:dyDescent="0.2">
      <c r="A26" s="75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4"/>
    </row>
    <row r="27" spans="1:14" x14ac:dyDescent="0.2">
      <c r="A27" s="75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4"/>
    </row>
    <row r="28" spans="1:14" x14ac:dyDescent="0.2">
      <c r="A28" s="75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4"/>
    </row>
    <row r="29" spans="1:14" x14ac:dyDescent="0.2">
      <c r="A29" s="75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4"/>
    </row>
    <row r="30" spans="1:14" x14ac:dyDescent="0.2">
      <c r="A30" s="75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4"/>
    </row>
    <row r="31" spans="1:14" x14ac:dyDescent="0.2">
      <c r="A31" s="75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4"/>
    </row>
    <row r="32" spans="1:14" x14ac:dyDescent="0.2">
      <c r="A32" s="75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4"/>
    </row>
    <row r="33" spans="1:14" x14ac:dyDescent="0.2">
      <c r="A33" s="75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4"/>
    </row>
    <row r="34" spans="1:14" x14ac:dyDescent="0.2">
      <c r="A34" s="647" t="s">
        <v>304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4"/>
    </row>
    <row r="35" spans="1:14" x14ac:dyDescent="0.2">
      <c r="A35" s="647" t="s">
        <v>11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4"/>
    </row>
    <row r="36" spans="1:14" x14ac:dyDescent="0.2">
      <c r="A36" s="647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4"/>
    </row>
    <row r="37" spans="1:14" x14ac:dyDescent="0.2">
      <c r="A37" s="647" t="s">
        <v>10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4"/>
    </row>
    <row r="38" spans="1:14" x14ac:dyDescent="0.2">
      <c r="A38" s="75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4"/>
    </row>
    <row r="39" spans="1:14" x14ac:dyDescent="0.2">
      <c r="A39" s="647" t="s">
        <v>32</v>
      </c>
      <c r="B39" s="71"/>
      <c r="C39" s="71"/>
      <c r="D39" s="71"/>
      <c r="E39" s="649" t="s">
        <v>33</v>
      </c>
      <c r="F39" s="71"/>
      <c r="G39" s="71"/>
      <c r="H39" s="71"/>
      <c r="I39" s="71"/>
      <c r="J39" s="71"/>
      <c r="K39" s="71"/>
      <c r="L39" s="71"/>
      <c r="M39" s="71"/>
      <c r="N39" s="74"/>
    </row>
    <row r="40" spans="1:14" x14ac:dyDescent="0.2">
      <c r="A40" s="648" t="s">
        <v>14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4"/>
    </row>
    <row r="41" spans="1:14" x14ac:dyDescent="0.2">
      <c r="A41" s="76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2"/>
    </row>
    <row r="42" spans="1:14" s="68" customFormat="1" x14ac:dyDescent="0.2">
      <c r="A42" s="129" t="s">
        <v>115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1"/>
    </row>
    <row r="43" spans="1:14" x14ac:dyDescent="0.2">
      <c r="A43" s="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8"/>
    </row>
    <row r="44" spans="1:14" x14ac:dyDescent="0.2">
      <c r="A44" s="7" t="s">
        <v>13</v>
      </c>
      <c r="B44" s="27"/>
      <c r="C44" s="8">
        <v>3</v>
      </c>
      <c r="D44" s="27" t="s">
        <v>15</v>
      </c>
      <c r="E44" s="27"/>
      <c r="F44" s="27"/>
      <c r="G44" s="27"/>
      <c r="H44" s="27"/>
      <c r="I44" s="27"/>
      <c r="J44" s="27"/>
      <c r="K44" s="27"/>
      <c r="L44" s="27"/>
      <c r="M44" s="27"/>
      <c r="N44" s="28"/>
    </row>
    <row r="45" spans="1:14" x14ac:dyDescent="0.2">
      <c r="A45" s="7" t="s">
        <v>17</v>
      </c>
      <c r="B45" s="27"/>
      <c r="C45" s="169">
        <v>5200</v>
      </c>
      <c r="D45" s="27" t="s">
        <v>16</v>
      </c>
      <c r="E45" s="27"/>
      <c r="F45" s="27"/>
      <c r="G45" s="27"/>
      <c r="H45" s="27"/>
      <c r="I45" s="27"/>
      <c r="J45" s="27"/>
      <c r="K45" s="27"/>
      <c r="L45" s="27"/>
      <c r="M45" s="27"/>
      <c r="N45" s="28"/>
    </row>
    <row r="46" spans="1:14" x14ac:dyDescent="0.2">
      <c r="A46" s="7" t="s">
        <v>394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8"/>
    </row>
    <row r="47" spans="1:14" x14ac:dyDescent="0.2">
      <c r="A47" s="7">
        <v>1</v>
      </c>
      <c r="B47" s="170" t="s">
        <v>89</v>
      </c>
      <c r="C47" s="27"/>
      <c r="D47" s="27"/>
      <c r="E47" s="27"/>
      <c r="F47" s="27"/>
      <c r="G47" s="27"/>
      <c r="H47" s="27"/>
      <c r="I47" s="27" t="s">
        <v>90</v>
      </c>
      <c r="J47" s="27"/>
      <c r="K47" s="27"/>
      <c r="L47" s="27"/>
      <c r="M47" s="27"/>
      <c r="N47" s="28"/>
    </row>
    <row r="48" spans="1:14" x14ac:dyDescent="0.2">
      <c r="A48" s="7">
        <v>2</v>
      </c>
      <c r="B48" s="170" t="s">
        <v>165</v>
      </c>
      <c r="C48" s="27"/>
      <c r="D48" s="27"/>
      <c r="E48" s="27"/>
      <c r="F48" s="27"/>
      <c r="G48" s="27"/>
      <c r="H48" s="27"/>
      <c r="I48" s="55" t="s">
        <v>263</v>
      </c>
      <c r="J48" s="55"/>
      <c r="K48" s="55"/>
      <c r="L48" s="55"/>
      <c r="M48" s="55"/>
      <c r="N48" s="28"/>
    </row>
    <row r="49" spans="1:15" x14ac:dyDescent="0.2">
      <c r="A49" s="7">
        <v>3</v>
      </c>
      <c r="B49" s="170" t="s">
        <v>129</v>
      </c>
      <c r="C49" s="27"/>
      <c r="D49" s="27"/>
      <c r="E49" s="27"/>
      <c r="F49" s="27"/>
      <c r="G49" s="27"/>
      <c r="H49" s="27"/>
      <c r="I49" s="55" t="s">
        <v>238</v>
      </c>
      <c r="J49" s="55"/>
      <c r="K49" s="55"/>
      <c r="L49" s="55"/>
      <c r="M49" s="55"/>
      <c r="N49" s="28"/>
    </row>
    <row r="50" spans="1:15" x14ac:dyDescent="0.2">
      <c r="A50" s="168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8"/>
    </row>
    <row r="51" spans="1:15" s="68" customFormat="1" x14ac:dyDescent="0.2">
      <c r="A51" s="162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4"/>
    </row>
    <row r="54" spans="1:15" s="68" customFormat="1" x14ac:dyDescent="0.2">
      <c r="A54" s="162" t="s">
        <v>18</v>
      </c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4"/>
    </row>
    <row r="55" spans="1:15" x14ac:dyDescent="0.2">
      <c r="A55" s="581" t="s">
        <v>293</v>
      </c>
      <c r="B55" s="582"/>
      <c r="C55" s="582"/>
      <c r="D55" s="582"/>
      <c r="E55" s="582"/>
      <c r="F55" s="582"/>
      <c r="G55" s="582"/>
      <c r="H55" s="582"/>
      <c r="I55" s="27"/>
      <c r="J55" s="27"/>
      <c r="K55" s="27"/>
      <c r="L55" s="27"/>
      <c r="M55" s="27"/>
      <c r="N55" s="28"/>
      <c r="O55" s="68"/>
    </row>
    <row r="56" spans="1:15" x14ac:dyDescent="0.2">
      <c r="A56" s="53" t="s">
        <v>19</v>
      </c>
      <c r="B56" s="32" t="s">
        <v>20</v>
      </c>
      <c r="C56" s="33" t="s">
        <v>21</v>
      </c>
      <c r="D56" s="33" t="s">
        <v>22</v>
      </c>
      <c r="E56" s="33" t="s">
        <v>23</v>
      </c>
      <c r="F56" s="33" t="s">
        <v>24</v>
      </c>
      <c r="G56" s="33" t="s">
        <v>25</v>
      </c>
      <c r="H56" s="33" t="s">
        <v>26</v>
      </c>
      <c r="I56" s="33" t="s">
        <v>27</v>
      </c>
      <c r="J56" s="33" t="s">
        <v>28</v>
      </c>
      <c r="K56" s="33" t="s">
        <v>29</v>
      </c>
      <c r="L56" s="33" t="s">
        <v>30</v>
      </c>
      <c r="M56" s="34" t="s">
        <v>31</v>
      </c>
      <c r="N56" s="266"/>
    </row>
    <row r="57" spans="1:15" x14ac:dyDescent="0.2">
      <c r="A57" s="652" t="s">
        <v>34</v>
      </c>
      <c r="B57" s="12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643">
        <v>0</v>
      </c>
      <c r="N57" s="583"/>
    </row>
    <row r="58" spans="1:15" x14ac:dyDescent="0.2">
      <c r="A58" s="161" t="s">
        <v>35</v>
      </c>
      <c r="B58" s="14"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644">
        <v>0</v>
      </c>
      <c r="N58" s="28"/>
    </row>
    <row r="59" spans="1:15" x14ac:dyDescent="0.2">
      <c r="A59" s="161" t="s">
        <v>36</v>
      </c>
      <c r="B59" s="14">
        <v>0.12</v>
      </c>
      <c r="C59" s="15">
        <v>0.12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644">
        <v>0.12</v>
      </c>
      <c r="N59" s="28"/>
    </row>
    <row r="60" spans="1:15" x14ac:dyDescent="0.2">
      <c r="A60" s="161" t="s">
        <v>37</v>
      </c>
      <c r="B60" s="14">
        <v>0</v>
      </c>
      <c r="C60" s="15">
        <v>0</v>
      </c>
      <c r="D60" s="15">
        <v>0</v>
      </c>
      <c r="E60" s="15">
        <v>0</v>
      </c>
      <c r="F60" s="15">
        <v>0.5</v>
      </c>
      <c r="G60" s="15">
        <v>1</v>
      </c>
      <c r="H60" s="15">
        <v>1</v>
      </c>
      <c r="I60" s="15">
        <v>1</v>
      </c>
      <c r="J60" s="15">
        <v>0.5</v>
      </c>
      <c r="K60" s="15">
        <v>0</v>
      </c>
      <c r="L60" s="15">
        <v>0</v>
      </c>
      <c r="M60" s="644">
        <v>0</v>
      </c>
      <c r="N60" s="28"/>
    </row>
    <row r="61" spans="1:15" x14ac:dyDescent="0.2">
      <c r="A61" s="161" t="s">
        <v>38</v>
      </c>
      <c r="B61" s="14">
        <v>0</v>
      </c>
      <c r="C61" s="15">
        <v>0</v>
      </c>
      <c r="D61" s="15">
        <v>0</v>
      </c>
      <c r="E61" s="15">
        <v>0.4</v>
      </c>
      <c r="F61" s="15">
        <v>0.5</v>
      </c>
      <c r="G61" s="15">
        <v>0</v>
      </c>
      <c r="H61" s="15">
        <v>0</v>
      </c>
      <c r="I61" s="15">
        <v>0</v>
      </c>
      <c r="J61" s="15">
        <v>0.5</v>
      </c>
      <c r="K61" s="15">
        <v>0.4</v>
      </c>
      <c r="L61" s="15">
        <v>0</v>
      </c>
      <c r="M61" s="644">
        <v>0</v>
      </c>
      <c r="N61" s="28"/>
    </row>
    <row r="62" spans="1:15" x14ac:dyDescent="0.2">
      <c r="A62" s="161" t="s">
        <v>317</v>
      </c>
      <c r="B62" s="14">
        <v>0</v>
      </c>
      <c r="C62" s="15">
        <v>0</v>
      </c>
      <c r="D62" s="15">
        <v>0.4</v>
      </c>
      <c r="E62" s="15">
        <v>0.6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0.6</v>
      </c>
      <c r="L62" s="15">
        <v>0.4</v>
      </c>
      <c r="M62" s="644">
        <v>0</v>
      </c>
      <c r="N62" s="28"/>
    </row>
    <row r="63" spans="1:15" x14ac:dyDescent="0.2">
      <c r="A63" s="161" t="s">
        <v>39</v>
      </c>
      <c r="B63" s="14">
        <v>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644">
        <v>0</v>
      </c>
      <c r="N63" s="28"/>
    </row>
    <row r="64" spans="1:15" x14ac:dyDescent="0.2">
      <c r="A64" s="161" t="s">
        <v>411</v>
      </c>
      <c r="B64" s="14">
        <v>0.12</v>
      </c>
      <c r="C64" s="15">
        <v>0.12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644">
        <v>0.12</v>
      </c>
      <c r="N64" s="28"/>
      <c r="O64" s="104"/>
    </row>
    <row r="65" spans="1:15" x14ac:dyDescent="0.2">
      <c r="A65" s="161" t="s">
        <v>412</v>
      </c>
      <c r="B65" s="14">
        <v>0.76</v>
      </c>
      <c r="C65" s="15">
        <v>0.76</v>
      </c>
      <c r="D65" s="15">
        <v>0.6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0.6</v>
      </c>
      <c r="M65" s="644">
        <v>0.76</v>
      </c>
      <c r="N65" s="28"/>
      <c r="O65" s="104"/>
    </row>
    <row r="66" spans="1:15" x14ac:dyDescent="0.2">
      <c r="A66" s="584" t="s">
        <v>40</v>
      </c>
      <c r="B66" s="35">
        <v>0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645">
        <v>0</v>
      </c>
      <c r="N66" s="28"/>
    </row>
    <row r="67" spans="1:15" x14ac:dyDescent="0.2">
      <c r="A67" s="30" t="s">
        <v>42</v>
      </c>
      <c r="B67" s="379">
        <f>SUM(B57:B66)</f>
        <v>1</v>
      </c>
      <c r="C67" s="380">
        <f>SUM(C57:C66)</f>
        <v>1</v>
      </c>
      <c r="D67" s="380">
        <f t="shared" ref="D67:M67" si="0">SUM(D57:D66)</f>
        <v>1</v>
      </c>
      <c r="E67" s="380">
        <f t="shared" si="0"/>
        <v>1</v>
      </c>
      <c r="F67" s="380">
        <f t="shared" si="0"/>
        <v>1</v>
      </c>
      <c r="G67" s="380">
        <f t="shared" si="0"/>
        <v>1</v>
      </c>
      <c r="H67" s="380">
        <f t="shared" si="0"/>
        <v>1</v>
      </c>
      <c r="I67" s="380">
        <f t="shared" si="0"/>
        <v>1</v>
      </c>
      <c r="J67" s="380">
        <f t="shared" si="0"/>
        <v>1</v>
      </c>
      <c r="K67" s="380">
        <f t="shared" si="0"/>
        <v>1</v>
      </c>
      <c r="L67" s="380">
        <f t="shared" si="0"/>
        <v>1</v>
      </c>
      <c r="M67" s="381">
        <f t="shared" si="0"/>
        <v>1</v>
      </c>
      <c r="N67" s="28"/>
    </row>
    <row r="68" spans="1:15" x14ac:dyDescent="0.2">
      <c r="A68" s="160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8"/>
    </row>
    <row r="69" spans="1:15" x14ac:dyDescent="0.2">
      <c r="A69" s="18" t="s">
        <v>48</v>
      </c>
      <c r="B69" s="27"/>
      <c r="C69" s="27"/>
      <c r="D69" s="27"/>
      <c r="E69" s="8">
        <v>4</v>
      </c>
      <c r="F69" s="27" t="s">
        <v>50</v>
      </c>
      <c r="G69" s="27"/>
      <c r="H69" s="27"/>
      <c r="I69" s="27"/>
      <c r="J69" s="27"/>
      <c r="K69" s="27"/>
      <c r="L69" s="27"/>
      <c r="M69" s="27"/>
      <c r="N69" s="28"/>
    </row>
    <row r="70" spans="1:15" x14ac:dyDescent="0.2">
      <c r="A70" s="7">
        <v>1</v>
      </c>
      <c r="B70" s="27" t="s">
        <v>107</v>
      </c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8"/>
    </row>
    <row r="71" spans="1:15" x14ac:dyDescent="0.2">
      <c r="A71" s="7">
        <v>2</v>
      </c>
      <c r="B71" s="27" t="s">
        <v>49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8"/>
    </row>
    <row r="72" spans="1:15" x14ac:dyDescent="0.2">
      <c r="A72" s="7">
        <v>3</v>
      </c>
      <c r="B72" s="55" t="s">
        <v>306</v>
      </c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8"/>
    </row>
    <row r="73" spans="1:15" x14ac:dyDescent="0.2">
      <c r="A73" s="7">
        <v>4</v>
      </c>
      <c r="B73" s="27" t="s">
        <v>410</v>
      </c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8"/>
    </row>
    <row r="74" spans="1:15" x14ac:dyDescent="0.2">
      <c r="A74" s="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8"/>
    </row>
    <row r="75" spans="1:15" x14ac:dyDescent="0.2">
      <c r="A75" s="18" t="s">
        <v>60</v>
      </c>
      <c r="B75" s="27"/>
      <c r="C75" s="27"/>
      <c r="D75" s="27"/>
      <c r="E75" s="27"/>
      <c r="F75" s="27"/>
      <c r="G75" s="27"/>
      <c r="H75" s="27"/>
      <c r="I75" s="27"/>
      <c r="J75" s="8">
        <v>3</v>
      </c>
      <c r="K75" s="27" t="s">
        <v>15</v>
      </c>
      <c r="L75" s="27"/>
      <c r="M75" s="27"/>
      <c r="N75" s="28"/>
    </row>
    <row r="76" spans="1:15" x14ac:dyDescent="0.2">
      <c r="A76" s="7">
        <v>1</v>
      </c>
      <c r="B76" s="27" t="s">
        <v>303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8"/>
    </row>
    <row r="77" spans="1:15" x14ac:dyDescent="0.2">
      <c r="A77" s="7">
        <v>2</v>
      </c>
      <c r="B77" s="27" t="s">
        <v>137</v>
      </c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8"/>
    </row>
    <row r="78" spans="1:15" x14ac:dyDescent="0.2">
      <c r="A78" s="7">
        <v>3</v>
      </c>
      <c r="B78" s="103" t="s">
        <v>302</v>
      </c>
      <c r="C78" s="585"/>
      <c r="D78" s="585"/>
      <c r="E78" s="585"/>
      <c r="F78" s="585"/>
      <c r="G78" s="585"/>
      <c r="H78" s="585"/>
      <c r="I78" s="585"/>
      <c r="J78" s="585"/>
      <c r="K78" s="585"/>
      <c r="L78" s="585"/>
      <c r="M78" s="27"/>
      <c r="N78" s="28"/>
    </row>
    <row r="79" spans="1:15" x14ac:dyDescent="0.2">
      <c r="A79" s="9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10"/>
      <c r="N79" s="11"/>
    </row>
    <row r="80" spans="1:15" x14ac:dyDescent="0.2">
      <c r="B80" s="299"/>
      <c r="C80" s="299"/>
      <c r="D80" s="299"/>
      <c r="E80" s="299"/>
      <c r="F80" s="299"/>
      <c r="G80" s="299"/>
      <c r="H80" s="299"/>
      <c r="I80" s="299"/>
      <c r="J80" s="299"/>
      <c r="K80" s="299"/>
      <c r="L80" s="299"/>
    </row>
    <row r="81" spans="2:12" x14ac:dyDescent="0.2">
      <c r="B81" s="299"/>
      <c r="C81" s="299"/>
      <c r="D81" s="299"/>
      <c r="E81" s="299"/>
      <c r="F81" s="299"/>
      <c r="G81" s="299"/>
      <c r="H81" s="299"/>
      <c r="I81" s="299"/>
      <c r="J81" s="299"/>
      <c r="K81" s="299"/>
      <c r="L81" s="299"/>
    </row>
  </sheetData>
  <conditionalFormatting sqref="B67:M67">
    <cfRule type="cellIs" dxfId="7" priority="1" operator="equal">
      <formula>1</formula>
    </cfRule>
  </conditionalFormatting>
  <pageMargins left="0.70866141732283472" right="0.70866141732283472" top="0.35433070866141736" bottom="0.35433070866141736" header="0.31496062992125984" footer="0.31496062992125984"/>
  <pageSetup paperSize="9" scale="97" orientation="portrait" r:id="rId1"/>
  <rowBreaks count="1" manualBreakCount="1">
    <brk id="52" max="16383" man="1"/>
  </rowBreaks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 tint="-0.249977111117893"/>
  </sheetPr>
  <dimension ref="A1:BX274"/>
  <sheetViews>
    <sheetView workbookViewId="0">
      <selection activeCell="D24" sqref="D24"/>
    </sheetView>
  </sheetViews>
  <sheetFormatPr baseColWidth="10" defaultColWidth="8.83203125" defaultRowHeight="15" x14ac:dyDescent="0.2"/>
  <cols>
    <col min="1" max="1" width="32.1640625" customWidth="1"/>
    <col min="2" max="14" width="8.83203125" customWidth="1"/>
    <col min="15" max="15" width="10" customWidth="1"/>
    <col min="16" max="16" width="29.6640625" customWidth="1"/>
    <col min="17" max="17" width="11.6640625" bestFit="1" customWidth="1"/>
  </cols>
  <sheetData>
    <row r="1" spans="1:76" s="297" customFormat="1" ht="19" x14ac:dyDescent="0.25">
      <c r="A1" s="114" t="s">
        <v>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6"/>
    </row>
    <row r="2" spans="1:76" s="1" customFormat="1" ht="11" x14ac:dyDescent="0.15">
      <c r="A2" s="123" t="str">
        <f>INDATA!A2</f>
        <v>Fastighetsnära säsongslagring av fjärrvärme, Energiforsk rapport 2016:321, år 2016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  <c r="AV2" s="298"/>
      <c r="AW2" s="298"/>
      <c r="AX2" s="298"/>
      <c r="AY2" s="298"/>
      <c r="AZ2" s="298"/>
      <c r="BA2" s="298"/>
      <c r="BB2" s="298"/>
      <c r="BC2" s="298"/>
      <c r="BD2" s="298"/>
      <c r="BE2" s="298"/>
      <c r="BF2" s="298"/>
      <c r="BG2" s="298"/>
      <c r="BH2" s="298"/>
      <c r="BI2" s="298"/>
      <c r="BJ2" s="298"/>
      <c r="BK2" s="298"/>
      <c r="BL2" s="298"/>
      <c r="BM2" s="298"/>
      <c r="BN2" s="298"/>
      <c r="BO2" s="298"/>
      <c r="BP2" s="298"/>
      <c r="BQ2" s="298"/>
      <c r="BR2" s="298"/>
      <c r="BS2" s="298"/>
      <c r="BT2" s="298"/>
      <c r="BU2" s="298"/>
      <c r="BV2" s="298"/>
      <c r="BW2" s="298"/>
      <c r="BX2" s="298"/>
    </row>
    <row r="3" spans="1:76" s="1" customFormat="1" ht="11" x14ac:dyDescent="0.15">
      <c r="A3" s="117" t="str">
        <f>INDATA!A3</f>
        <v>Utvecklat av DEVCCO och SP Sveriges Tekniska Forskningsintitut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298"/>
      <c r="AV3" s="298"/>
      <c r="AW3" s="298"/>
      <c r="AX3" s="298"/>
      <c r="AY3" s="298"/>
      <c r="AZ3" s="298"/>
      <c r="BA3" s="298"/>
      <c r="BB3" s="298"/>
      <c r="BC3" s="298"/>
      <c r="BD3" s="298"/>
      <c r="BE3" s="298"/>
      <c r="BF3" s="298"/>
      <c r="BG3" s="298"/>
      <c r="BH3" s="298"/>
      <c r="BI3" s="298"/>
      <c r="BJ3" s="298"/>
      <c r="BK3" s="298"/>
      <c r="BL3" s="298"/>
      <c r="BM3" s="298"/>
      <c r="BN3" s="298"/>
      <c r="BO3" s="298"/>
      <c r="BP3" s="298"/>
      <c r="BQ3" s="298"/>
      <c r="BR3" s="298"/>
      <c r="BS3" s="298"/>
      <c r="BT3" s="298"/>
      <c r="BU3" s="298"/>
      <c r="BV3" s="298"/>
      <c r="BW3" s="298"/>
      <c r="BX3" s="298"/>
    </row>
    <row r="4" spans="1:76" s="1" customFormat="1" ht="11" x14ac:dyDescent="0.15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9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  <c r="AK4" s="298"/>
      <c r="AL4" s="298"/>
      <c r="AM4" s="298"/>
      <c r="AN4" s="298"/>
      <c r="AO4" s="298"/>
      <c r="AP4" s="298"/>
      <c r="AQ4" s="298"/>
      <c r="AR4" s="298"/>
      <c r="AS4" s="298"/>
      <c r="AT4" s="298"/>
      <c r="AU4" s="298"/>
      <c r="AV4" s="298"/>
      <c r="AW4" s="298"/>
      <c r="AX4" s="298"/>
      <c r="AY4" s="298"/>
      <c r="AZ4" s="298"/>
      <c r="BA4" s="298"/>
      <c r="BB4" s="298"/>
      <c r="BC4" s="298"/>
      <c r="BD4" s="298"/>
      <c r="BE4" s="298"/>
      <c r="BF4" s="298"/>
      <c r="BG4" s="298"/>
      <c r="BH4" s="298"/>
      <c r="BI4" s="298"/>
      <c r="BJ4" s="298"/>
      <c r="BK4" s="298"/>
      <c r="BL4" s="298"/>
      <c r="BM4" s="298"/>
      <c r="BN4" s="298"/>
      <c r="BO4" s="298"/>
      <c r="BP4" s="298"/>
      <c r="BQ4" s="298"/>
      <c r="BR4" s="298"/>
      <c r="BS4" s="298"/>
      <c r="BT4" s="298"/>
      <c r="BU4" s="298"/>
      <c r="BV4" s="298"/>
      <c r="BW4" s="298"/>
      <c r="BX4" s="298"/>
    </row>
    <row r="5" spans="1:76" s="1" customFormat="1" ht="11" x14ac:dyDescent="0.15">
      <c r="A5" s="117" t="str">
        <f>INDATA!A5</f>
        <v>Oskar Räftegård och Mikael Rosén, SP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9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298"/>
      <c r="AK5" s="298"/>
      <c r="AL5" s="298"/>
      <c r="AM5" s="298"/>
      <c r="AN5" s="298"/>
      <c r="AO5" s="298"/>
      <c r="AP5" s="298"/>
      <c r="AQ5" s="298"/>
      <c r="AR5" s="298"/>
      <c r="AS5" s="298"/>
      <c r="AT5" s="298"/>
      <c r="AU5" s="298"/>
      <c r="AV5" s="298"/>
      <c r="AW5" s="298"/>
      <c r="AX5" s="298"/>
      <c r="AY5" s="298"/>
      <c r="AZ5" s="298"/>
      <c r="BA5" s="298"/>
      <c r="BB5" s="298"/>
      <c r="BC5" s="298"/>
      <c r="BD5" s="298"/>
      <c r="BE5" s="298"/>
      <c r="BF5" s="298"/>
      <c r="BG5" s="298"/>
      <c r="BH5" s="298"/>
      <c r="BI5" s="298"/>
      <c r="BJ5" s="298"/>
      <c r="BK5" s="298"/>
      <c r="BL5" s="298"/>
      <c r="BM5" s="298"/>
      <c r="BN5" s="298"/>
      <c r="BO5" s="298"/>
      <c r="BP5" s="298"/>
      <c r="BQ5" s="298"/>
      <c r="BR5" s="298"/>
      <c r="BS5" s="298"/>
      <c r="BT5" s="298"/>
      <c r="BU5" s="298"/>
      <c r="BV5" s="298"/>
      <c r="BW5" s="298"/>
      <c r="BX5" s="298"/>
    </row>
    <row r="6" spans="1:76" s="1" customFormat="1" ht="11" x14ac:dyDescent="0.15">
      <c r="A6" s="117" t="str">
        <f>INDATA!A6</f>
        <v>Joakim Nilsson och Jonathan Cygnaeus, DEVCCO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9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M6" s="298"/>
      <c r="AN6" s="298"/>
      <c r="AO6" s="298"/>
      <c r="AP6" s="298"/>
      <c r="AQ6" s="298"/>
      <c r="AR6" s="298"/>
      <c r="AS6" s="298"/>
      <c r="AT6" s="298"/>
      <c r="AU6" s="298"/>
      <c r="AV6" s="298"/>
      <c r="AW6" s="298"/>
      <c r="AX6" s="298"/>
      <c r="AY6" s="298"/>
      <c r="AZ6" s="298"/>
      <c r="BA6" s="298"/>
      <c r="BB6" s="298"/>
      <c r="BC6" s="298"/>
      <c r="BD6" s="298"/>
      <c r="BE6" s="298"/>
      <c r="BF6" s="298"/>
      <c r="BG6" s="298"/>
      <c r="BH6" s="298"/>
      <c r="BI6" s="298"/>
      <c r="BJ6" s="298"/>
      <c r="BK6" s="298"/>
      <c r="BL6" s="298"/>
      <c r="BM6" s="298"/>
      <c r="BN6" s="298"/>
      <c r="BO6" s="298"/>
      <c r="BP6" s="298"/>
      <c r="BQ6" s="298"/>
      <c r="BR6" s="298"/>
      <c r="BS6" s="298"/>
      <c r="BT6" s="298"/>
      <c r="BU6" s="298"/>
      <c r="BV6" s="298"/>
      <c r="BW6" s="298"/>
      <c r="BX6" s="298"/>
    </row>
    <row r="7" spans="1:76" s="1" customFormat="1" ht="11" x14ac:dyDescent="0.15">
      <c r="A7" s="117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  <c r="AO7" s="298"/>
      <c r="AP7" s="298"/>
      <c r="AQ7" s="298"/>
      <c r="AR7" s="298"/>
      <c r="AS7" s="298"/>
      <c r="AT7" s="298"/>
      <c r="AU7" s="298"/>
      <c r="AV7" s="298"/>
      <c r="AW7" s="298"/>
      <c r="AX7" s="298"/>
      <c r="AY7" s="298"/>
      <c r="AZ7" s="298"/>
      <c r="BA7" s="298"/>
      <c r="BB7" s="298"/>
      <c r="BC7" s="298"/>
      <c r="BD7" s="298"/>
      <c r="BE7" s="298"/>
      <c r="BF7" s="298"/>
      <c r="BG7" s="298"/>
      <c r="BH7" s="298"/>
      <c r="BI7" s="298"/>
      <c r="BJ7" s="298"/>
      <c r="BK7" s="298"/>
      <c r="BL7" s="298"/>
      <c r="BM7" s="298"/>
      <c r="BN7" s="298"/>
      <c r="BO7" s="298"/>
      <c r="BP7" s="298"/>
      <c r="BQ7" s="298"/>
      <c r="BR7" s="298"/>
      <c r="BS7" s="298"/>
      <c r="BT7" s="298"/>
      <c r="BU7" s="298"/>
      <c r="BV7" s="298"/>
      <c r="BW7" s="298"/>
      <c r="BX7" s="298"/>
    </row>
    <row r="8" spans="1:76" s="68" customFormat="1" x14ac:dyDescent="0.2">
      <c r="A8" s="149" t="s">
        <v>92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</row>
    <row r="9" spans="1:76" x14ac:dyDescent="0.2">
      <c r="A9" s="373" t="s">
        <v>97</v>
      </c>
      <c r="B9" s="595" t="str">
        <f>IF(INDATA!C44&gt;1,IF(INDATA!C44&gt;2,INDATA!B49,INDATA!B48),INDATA!B47)</f>
        <v>Energirenoverat miljonprogram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40"/>
    </row>
    <row r="10" spans="1:76" x14ac:dyDescent="0.2">
      <c r="A10" s="358" t="s">
        <v>96</v>
      </c>
      <c r="B10" s="596">
        <f>INDATA!C45</f>
        <v>5200</v>
      </c>
      <c r="C10" s="371" t="s">
        <v>378</v>
      </c>
      <c r="D10" s="371"/>
      <c r="E10" s="371"/>
      <c r="F10" s="371"/>
      <c r="G10" s="71"/>
      <c r="H10" s="71"/>
      <c r="I10" s="71"/>
      <c r="J10" s="71"/>
      <c r="K10" s="71"/>
      <c r="L10" s="71"/>
      <c r="M10" s="71"/>
      <c r="N10" s="74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76" x14ac:dyDescent="0.2">
      <c r="A11" s="126"/>
      <c r="B11" s="127"/>
      <c r="C11" s="128"/>
      <c r="D11" s="86"/>
      <c r="E11" s="71"/>
      <c r="F11" s="71"/>
      <c r="G11" s="71"/>
      <c r="H11" s="71"/>
      <c r="I11" s="71"/>
      <c r="J11" s="71"/>
      <c r="K11" s="71"/>
      <c r="L11" s="71"/>
      <c r="M11" s="71"/>
      <c r="N11" s="74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76" x14ac:dyDescent="0.2">
      <c r="A12" s="572" t="s">
        <v>401</v>
      </c>
      <c r="B12" s="387"/>
      <c r="C12" s="387"/>
      <c r="D12" s="387"/>
      <c r="E12" s="387"/>
      <c r="F12" s="387"/>
      <c r="G12" s="387"/>
      <c r="H12" s="574"/>
      <c r="I12" s="71"/>
      <c r="J12" s="572" t="s">
        <v>403</v>
      </c>
      <c r="K12" s="572"/>
      <c r="L12" s="572"/>
      <c r="M12" s="640"/>
      <c r="N12" s="74"/>
      <c r="O12" s="27"/>
      <c r="P12" s="27"/>
      <c r="Q12" s="27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27"/>
      <c r="AD12" s="27"/>
      <c r="AE12" s="27"/>
    </row>
    <row r="13" spans="1:76" x14ac:dyDescent="0.2">
      <c r="A13" s="43" t="s">
        <v>105</v>
      </c>
      <c r="B13" s="699" t="s">
        <v>285</v>
      </c>
      <c r="C13" s="700"/>
      <c r="D13" s="701" t="s">
        <v>286</v>
      </c>
      <c r="E13" s="701"/>
      <c r="F13" s="699" t="s">
        <v>395</v>
      </c>
      <c r="G13" s="700"/>
      <c r="H13" s="45"/>
      <c r="I13" s="71"/>
      <c r="J13" s="699"/>
      <c r="K13" s="701"/>
      <c r="L13" s="701"/>
      <c r="M13" s="700"/>
      <c r="N13" s="74"/>
      <c r="O13" s="27"/>
      <c r="P13" s="27"/>
      <c r="Q13" s="27"/>
      <c r="R13" s="25"/>
      <c r="S13" s="579"/>
      <c r="T13" s="579"/>
      <c r="U13" s="579"/>
      <c r="V13" s="579"/>
      <c r="W13" s="706"/>
      <c r="X13" s="706"/>
      <c r="Y13" s="706"/>
      <c r="Z13" s="55"/>
      <c r="AA13" s="55"/>
      <c r="AB13" s="55"/>
      <c r="AC13" s="27"/>
      <c r="AD13" s="27"/>
      <c r="AE13" s="27"/>
    </row>
    <row r="14" spans="1:76" x14ac:dyDescent="0.2">
      <c r="A14" s="373" t="s">
        <v>398</v>
      </c>
      <c r="B14" s="373"/>
      <c r="C14" s="631">
        <f>'INTERNA BERÄKNINGAR'!N199</f>
        <v>2108527.6900486425</v>
      </c>
      <c r="D14" s="373"/>
      <c r="E14" s="597">
        <f>'INTERNA BERÄKNINGAR'!N195</f>
        <v>4352471.8495035954</v>
      </c>
      <c r="F14" s="702">
        <f>C14-E14</f>
        <v>-2243944.1594549529</v>
      </c>
      <c r="G14" s="703"/>
      <c r="H14" s="374" t="s">
        <v>95</v>
      </c>
      <c r="I14" s="86"/>
      <c r="J14" s="708" t="s">
        <v>402</v>
      </c>
      <c r="K14" s="709"/>
      <c r="L14" s="636">
        <f>ROUND(B218/1000000,1)</f>
        <v>19.899999999999999</v>
      </c>
      <c r="M14" s="637" t="s">
        <v>88</v>
      </c>
      <c r="N14" s="74"/>
      <c r="O14" s="27"/>
      <c r="P14" s="27"/>
      <c r="Q14" s="27"/>
      <c r="R14" s="25"/>
      <c r="S14" s="707"/>
      <c r="T14" s="707"/>
      <c r="U14" s="707"/>
      <c r="V14" s="707"/>
      <c r="W14" s="483"/>
      <c r="X14" s="25"/>
      <c r="Y14" s="25"/>
      <c r="Z14" s="55"/>
      <c r="AA14" s="55"/>
      <c r="AB14" s="55"/>
      <c r="AC14" s="27"/>
      <c r="AD14" s="27"/>
      <c r="AE14" s="27"/>
    </row>
    <row r="15" spans="1:76" s="296" customFormat="1" ht="16" thickBot="1" x14ac:dyDescent="0.25">
      <c r="A15" s="375" t="s">
        <v>399</v>
      </c>
      <c r="B15" s="375"/>
      <c r="C15" s="632">
        <f>'INTERNA BERÄKNINGAR'!B162</f>
        <v>319335.98989284225</v>
      </c>
      <c r="D15" s="375"/>
      <c r="E15" s="633">
        <v>0</v>
      </c>
      <c r="F15" s="694">
        <f>C15-E15</f>
        <v>319335.98989284225</v>
      </c>
      <c r="G15" s="695"/>
      <c r="H15" s="376" t="s">
        <v>95</v>
      </c>
      <c r="I15" s="86"/>
      <c r="J15" s="694" t="s">
        <v>400</v>
      </c>
      <c r="K15" s="695"/>
      <c r="L15" s="634">
        <f>ROUND('INTERNA BERÄKNINGAR'!N170/1000000,1)</f>
        <v>3.9</v>
      </c>
      <c r="M15" s="635" t="s">
        <v>88</v>
      </c>
      <c r="N15" s="74"/>
      <c r="O15" s="27"/>
      <c r="P15" s="27"/>
      <c r="Q15" s="27"/>
      <c r="R15" s="25"/>
      <c r="S15" s="594"/>
      <c r="T15" s="594"/>
      <c r="U15" s="594"/>
      <c r="V15" s="594"/>
      <c r="W15" s="594"/>
      <c r="X15" s="25"/>
      <c r="Y15" s="25"/>
      <c r="Z15" s="55"/>
      <c r="AA15" s="55"/>
      <c r="AB15" s="55"/>
      <c r="AC15" s="27"/>
      <c r="AD15" s="27"/>
      <c r="AE15" s="27"/>
    </row>
    <row r="16" spans="1:76" ht="16" thickTop="1" x14ac:dyDescent="0.2">
      <c r="A16" s="377" t="s">
        <v>94</v>
      </c>
      <c r="B16" s="377"/>
      <c r="C16" s="623">
        <f>SUM(C14:C15)</f>
        <v>2427863.6799414847</v>
      </c>
      <c r="D16" s="377"/>
      <c r="E16" s="623">
        <f>SUM(E14:E15)</f>
        <v>4352471.8495035954</v>
      </c>
      <c r="F16" s="696">
        <f>C16-E16</f>
        <v>-1924608.1695621107</v>
      </c>
      <c r="G16" s="697"/>
      <c r="H16" s="378" t="s">
        <v>95</v>
      </c>
      <c r="I16" s="370"/>
      <c r="J16" s="696" t="s">
        <v>166</v>
      </c>
      <c r="K16" s="697"/>
      <c r="L16" s="639">
        <f>SUM(L14:L15)</f>
        <v>23.799999999999997</v>
      </c>
      <c r="M16" s="638" t="s">
        <v>88</v>
      </c>
      <c r="N16" s="74"/>
      <c r="O16" s="27"/>
      <c r="P16" s="27"/>
      <c r="Q16" s="27"/>
      <c r="R16" s="103"/>
      <c r="S16" s="103"/>
      <c r="T16" s="580"/>
      <c r="U16" s="103"/>
      <c r="V16" s="580"/>
      <c r="W16" s="580"/>
      <c r="X16" s="103"/>
      <c r="Y16" s="103"/>
      <c r="Z16" s="55"/>
      <c r="AA16" s="55"/>
      <c r="AB16" s="55"/>
      <c r="AC16" s="27"/>
      <c r="AD16" s="27"/>
      <c r="AE16" s="27"/>
    </row>
    <row r="17" spans="1:31" x14ac:dyDescent="0.2">
      <c r="A17" s="630"/>
      <c r="B17" s="372"/>
      <c r="C17" s="372"/>
      <c r="D17" s="372"/>
      <c r="E17" s="372"/>
      <c r="F17" s="372"/>
      <c r="G17" s="372"/>
      <c r="H17" s="371"/>
      <c r="I17" s="71"/>
      <c r="J17" s="71"/>
      <c r="K17" s="71"/>
      <c r="L17" s="71"/>
      <c r="M17" s="71"/>
      <c r="N17" s="74"/>
      <c r="P17" s="27"/>
      <c r="Q17" s="27"/>
      <c r="R17" s="103"/>
      <c r="S17" s="103"/>
      <c r="T17" s="580"/>
      <c r="U17" s="103"/>
      <c r="V17" s="580"/>
      <c r="W17" s="580"/>
      <c r="X17" s="103"/>
      <c r="Y17" s="103"/>
      <c r="Z17" s="55"/>
      <c r="AA17" s="55"/>
      <c r="AB17" s="55"/>
      <c r="AC17" s="27"/>
      <c r="AD17" s="27"/>
      <c r="AE17" s="27"/>
    </row>
    <row r="18" spans="1:31" x14ac:dyDescent="0.2">
      <c r="A18" s="146" t="s">
        <v>290</v>
      </c>
      <c r="B18" s="148"/>
      <c r="C18" s="71"/>
      <c r="D18" s="146" t="s">
        <v>291</v>
      </c>
      <c r="E18" s="147"/>
      <c r="F18" s="147"/>
      <c r="G18" s="148"/>
      <c r="H18" s="71"/>
      <c r="I18" s="71"/>
      <c r="J18" s="71"/>
      <c r="K18" s="71"/>
      <c r="L18" s="71"/>
      <c r="M18" s="71"/>
      <c r="N18" s="74"/>
      <c r="P18" s="27"/>
      <c r="Q18" s="27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27"/>
      <c r="AD18" s="27"/>
      <c r="AE18" s="27"/>
    </row>
    <row r="19" spans="1:31" x14ac:dyDescent="0.2">
      <c r="A19" s="295" t="s">
        <v>287</v>
      </c>
      <c r="B19" s="80" t="s">
        <v>124</v>
      </c>
      <c r="C19" s="71"/>
      <c r="D19" s="295" t="s">
        <v>287</v>
      </c>
      <c r="E19" s="17"/>
      <c r="F19" s="39"/>
      <c r="G19" s="184" t="s">
        <v>124</v>
      </c>
      <c r="H19" s="71"/>
      <c r="I19" s="71"/>
      <c r="J19" s="71"/>
      <c r="K19" s="71"/>
      <c r="L19" s="71"/>
      <c r="M19" s="71"/>
      <c r="N19" s="74"/>
      <c r="P19" s="27"/>
      <c r="Q19" s="27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27"/>
      <c r="AD19" s="27"/>
      <c r="AE19" s="27"/>
    </row>
    <row r="20" spans="1:31" x14ac:dyDescent="0.2">
      <c r="A20" s="184" t="s">
        <v>415</v>
      </c>
      <c r="B20" s="285">
        <f>'INTERNA BERÄKNINGAR'!B216/1000000</f>
        <v>47.147225969353848</v>
      </c>
      <c r="C20" s="316"/>
      <c r="D20" s="70" t="s">
        <v>288</v>
      </c>
      <c r="E20" s="346"/>
      <c r="F20" s="571"/>
      <c r="G20" s="621">
        <f>('INTERNA BERÄKNINGAR'!B242+'INTERNA BERÄKNINGAR'!B244)/1000000</f>
        <v>7.7727565675968915</v>
      </c>
      <c r="H20" s="71"/>
      <c r="I20" s="71"/>
      <c r="J20" s="71"/>
      <c r="K20" s="71"/>
      <c r="L20" s="71"/>
      <c r="M20" s="71"/>
      <c r="N20" s="74"/>
      <c r="P20" s="27"/>
      <c r="Q20" s="27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27"/>
      <c r="AD20" s="27"/>
      <c r="AE20" s="27"/>
    </row>
    <row r="21" spans="1:31" ht="16" thickBot="1" x14ac:dyDescent="0.25">
      <c r="A21" s="616" t="s">
        <v>416</v>
      </c>
      <c r="B21" s="617">
        <f>'INTERNA BERÄKNINGAR'!B208/1000000</f>
        <v>44.302465481000887</v>
      </c>
      <c r="C21" s="316"/>
      <c r="D21" s="618" t="s">
        <v>289</v>
      </c>
      <c r="E21" s="619"/>
      <c r="F21" s="620"/>
      <c r="G21" s="617">
        <f>('INTERNA BERÄKNINGAR'!B243+'INTERNA BERÄKNINGAR'!B245)/1000000</f>
        <v>7.0661423341789913</v>
      </c>
      <c r="H21" s="71"/>
      <c r="I21" s="71"/>
      <c r="J21" s="71"/>
      <c r="K21" s="71"/>
      <c r="L21" s="71"/>
      <c r="M21" s="71"/>
      <c r="N21" s="74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96" customFormat="1" ht="16" thickTop="1" x14ac:dyDescent="0.2">
      <c r="A22" s="646" t="s">
        <v>103</v>
      </c>
      <c r="B22" s="614">
        <f>'INTERNA BERÄKNINGAR'!B220/1000000</f>
        <v>-2.844760488352962</v>
      </c>
      <c r="C22" s="317"/>
      <c r="D22" s="46" t="s">
        <v>103</v>
      </c>
      <c r="E22" s="41"/>
      <c r="F22" s="615"/>
      <c r="G22" s="614">
        <f>'INTERNA BERÄKNINGAR'!B246/1000000</f>
        <v>0.70661423341790075</v>
      </c>
      <c r="H22" s="71"/>
      <c r="I22" s="71"/>
      <c r="J22" s="71"/>
      <c r="K22" s="71"/>
      <c r="L22" s="71"/>
      <c r="M22" s="71"/>
      <c r="N22" s="74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625" customFormat="1" x14ac:dyDescent="0.2">
      <c r="A23" s="624" t="s">
        <v>397</v>
      </c>
      <c r="C23" s="626"/>
      <c r="D23" s="627"/>
      <c r="E23" s="626"/>
      <c r="F23" s="626"/>
      <c r="G23" s="626"/>
      <c r="H23" s="627"/>
      <c r="I23" s="627"/>
      <c r="J23" s="627"/>
      <c r="K23" s="627"/>
      <c r="L23" s="627"/>
      <c r="M23" s="627"/>
      <c r="N23" s="628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629"/>
      <c r="AB23" s="629"/>
      <c r="AC23" s="629"/>
      <c r="AD23" s="629"/>
      <c r="AE23" s="629"/>
    </row>
    <row r="24" spans="1:31" s="296" customFormat="1" x14ac:dyDescent="0.2">
      <c r="A24" s="570" t="s">
        <v>283</v>
      </c>
      <c r="B24" s="622">
        <f>'INTERNA BERÄKNINGAR'!B222</f>
        <v>5.6542871081540547E-2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4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625" customFormat="1" x14ac:dyDescent="0.2">
      <c r="A25" s="630" t="s">
        <v>396</v>
      </c>
      <c r="B25" s="627"/>
      <c r="C25" s="627"/>
      <c r="D25" s="627"/>
      <c r="E25" s="627"/>
      <c r="F25" s="627"/>
      <c r="G25" s="627"/>
      <c r="H25" s="627"/>
      <c r="I25" s="627"/>
      <c r="J25" s="627"/>
      <c r="K25" s="627"/>
      <c r="L25" s="627"/>
      <c r="M25" s="627"/>
      <c r="N25" s="628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629"/>
      <c r="AB25" s="629"/>
      <c r="AC25" s="629"/>
      <c r="AD25" s="629"/>
      <c r="AE25" s="629"/>
    </row>
    <row r="26" spans="1:31" x14ac:dyDescent="0.2">
      <c r="A26" s="572" t="s">
        <v>377</v>
      </c>
      <c r="B26" s="387"/>
      <c r="C26" s="387"/>
      <c r="D26" s="387"/>
      <c r="E26" s="387"/>
      <c r="F26" s="387"/>
      <c r="G26" s="387"/>
      <c r="H26" s="387"/>
      <c r="I26" s="387"/>
      <c r="J26" s="573"/>
      <c r="K26" s="573"/>
      <c r="L26" s="573"/>
      <c r="M26" s="573"/>
      <c r="N26" s="574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x14ac:dyDescent="0.2">
      <c r="A27" s="355" t="s">
        <v>379</v>
      </c>
      <c r="B27" s="490" t="s">
        <v>20</v>
      </c>
      <c r="C27" s="491" t="s">
        <v>21</v>
      </c>
      <c r="D27" s="491" t="s">
        <v>22</v>
      </c>
      <c r="E27" s="491" t="s">
        <v>23</v>
      </c>
      <c r="F27" s="491" t="s">
        <v>24</v>
      </c>
      <c r="G27" s="491" t="s">
        <v>25</v>
      </c>
      <c r="H27" s="491" t="s">
        <v>26</v>
      </c>
      <c r="I27" s="491" t="s">
        <v>27</v>
      </c>
      <c r="J27" s="491" t="s">
        <v>28</v>
      </c>
      <c r="K27" s="491" t="s">
        <v>29</v>
      </c>
      <c r="L27" s="491" t="s">
        <v>30</v>
      </c>
      <c r="M27" s="491" t="s">
        <v>31</v>
      </c>
      <c r="N27" s="339" t="s">
        <v>380</v>
      </c>
    </row>
    <row r="28" spans="1:31" x14ac:dyDescent="0.2">
      <c r="A28" s="75" t="s">
        <v>376</v>
      </c>
      <c r="B28" s="576">
        <f>B89</f>
        <v>-491.73031175501649</v>
      </c>
      <c r="C28" s="576">
        <f t="shared" ref="C28:N28" si="0">C89</f>
        <v>-459.49857325636782</v>
      </c>
      <c r="D28" s="576">
        <f t="shared" si="0"/>
        <v>-474.88511078555246</v>
      </c>
      <c r="E28" s="576">
        <f t="shared" si="0"/>
        <v>-358.84746220289287</v>
      </c>
      <c r="F28" s="576">
        <f t="shared" si="0"/>
        <v>1022.4328909825017</v>
      </c>
      <c r="G28" s="576">
        <f t="shared" si="0"/>
        <v>1570.9524954314541</v>
      </c>
      <c r="H28" s="576">
        <f t="shared" si="0"/>
        <v>1533.6773567963733</v>
      </c>
      <c r="I28" s="576">
        <f t="shared" si="0"/>
        <v>1050.2064140778239</v>
      </c>
      <c r="J28" s="576">
        <f t="shared" si="0"/>
        <v>654.19049908629086</v>
      </c>
      <c r="K28" s="576">
        <f t="shared" si="0"/>
        <v>-357.3224959667528</v>
      </c>
      <c r="L28" s="576">
        <f t="shared" si="0"/>
        <v>-451.05164389680692</v>
      </c>
      <c r="M28" s="576">
        <f t="shared" si="0"/>
        <v>-454.72431118999765</v>
      </c>
      <c r="N28" s="641">
        <f t="shared" si="0"/>
        <v>2783.3997473210557</v>
      </c>
    </row>
    <row r="29" spans="1:31" x14ac:dyDescent="0.2">
      <c r="A29" s="79" t="s">
        <v>375</v>
      </c>
      <c r="B29" s="577">
        <f>B127</f>
        <v>-2.8729566978064547</v>
      </c>
      <c r="C29" s="577">
        <f t="shared" ref="C29:N29" si="1">C127</f>
        <v>-2.6846413005490835</v>
      </c>
      <c r="D29" s="577">
        <f t="shared" si="1"/>
        <v>-45.301161477361163</v>
      </c>
      <c r="E29" s="577">
        <f t="shared" si="1"/>
        <v>-14.204617943839303</v>
      </c>
      <c r="F29" s="577">
        <f t="shared" si="1"/>
        <v>-262.88794492942088</v>
      </c>
      <c r="G29" s="577">
        <f t="shared" si="1"/>
        <v>-268.94706721786491</v>
      </c>
      <c r="H29" s="577">
        <f t="shared" si="1"/>
        <v>-262.56556348353917</v>
      </c>
      <c r="I29" s="577">
        <f t="shared" si="1"/>
        <v>-179.79533809012349</v>
      </c>
      <c r="J29" s="577">
        <f t="shared" si="1"/>
        <v>-168.20546112506713</v>
      </c>
      <c r="K29" s="577">
        <f t="shared" si="1"/>
        <v>-14.14425368034793</v>
      </c>
      <c r="L29" s="577">
        <f t="shared" si="1"/>
        <v>-43.027593181428699</v>
      </c>
      <c r="M29" s="577">
        <f t="shared" si="1"/>
        <v>-2.6567474574144025</v>
      </c>
      <c r="N29" s="641">
        <f t="shared" si="1"/>
        <v>-1267.2933465847627</v>
      </c>
      <c r="P29" s="68"/>
      <c r="Q29" s="68"/>
    </row>
    <row r="30" spans="1:31" x14ac:dyDescent="0.2">
      <c r="A30" s="377" t="s">
        <v>362</v>
      </c>
      <c r="B30" s="578">
        <f>B177</f>
        <v>146.2351542068526</v>
      </c>
      <c r="C30" s="578">
        <f t="shared" ref="C30:N30" si="2">C177</f>
        <v>137.84412937617401</v>
      </c>
      <c r="D30" s="578">
        <f t="shared" si="2"/>
        <v>49.936595084642079</v>
      </c>
      <c r="E30" s="578">
        <f t="shared" si="2"/>
        <v>-20.88908910142689</v>
      </c>
      <c r="F30" s="578">
        <f t="shared" si="2"/>
        <v>-1258.6921863301282</v>
      </c>
      <c r="G30" s="578">
        <f t="shared" si="2"/>
        <v>-1665.8487426463507</v>
      </c>
      <c r="H30" s="578">
        <f t="shared" si="2"/>
        <v>-1594.5386360218283</v>
      </c>
      <c r="I30" s="578">
        <f t="shared" si="2"/>
        <v>-1159.9266817948405</v>
      </c>
      <c r="J30" s="578">
        <f t="shared" si="2"/>
        <v>-864.43004501327891</v>
      </c>
      <c r="K30" s="578">
        <f t="shared" si="2"/>
        <v>-14.518669971508205</v>
      </c>
      <c r="L30" s="578">
        <f t="shared" si="2"/>
        <v>32.462126925847194</v>
      </c>
      <c r="M30" s="578">
        <f t="shared" si="2"/>
        <v>140.81190977999012</v>
      </c>
      <c r="N30" s="642">
        <f t="shared" si="2"/>
        <v>-6071.5541355058558</v>
      </c>
      <c r="P30" s="68"/>
      <c r="Q30" s="68"/>
    </row>
    <row r="31" spans="1:31" x14ac:dyDescent="0.2">
      <c r="A31" s="575" t="s">
        <v>381</v>
      </c>
      <c r="B31" s="84"/>
      <c r="C31" s="84"/>
      <c r="D31" s="84"/>
      <c r="E31" s="84"/>
      <c r="F31" s="84"/>
      <c r="G31" s="84"/>
      <c r="H31" s="41"/>
      <c r="I31" s="41"/>
      <c r="J31" s="41"/>
      <c r="K31" s="41"/>
      <c r="L31" s="41"/>
      <c r="M31" s="41"/>
      <c r="N31" s="42"/>
      <c r="P31" s="68"/>
      <c r="Q31" s="68"/>
    </row>
    <row r="32" spans="1:31" x14ac:dyDescent="0.2">
      <c r="A32" s="85"/>
      <c r="B32" s="86"/>
      <c r="C32" s="86"/>
      <c r="D32" s="86"/>
      <c r="E32" s="86"/>
      <c r="F32" s="86"/>
      <c r="G32" s="86"/>
      <c r="H32" s="71"/>
      <c r="I32" s="71"/>
      <c r="J32" s="71"/>
      <c r="K32" s="71"/>
      <c r="L32" s="71"/>
      <c r="M32" s="71"/>
      <c r="N32" s="74"/>
      <c r="P32" s="68"/>
      <c r="Q32" s="68"/>
    </row>
    <row r="33" spans="1:17" x14ac:dyDescent="0.2">
      <c r="A33" s="75" t="s">
        <v>106</v>
      </c>
      <c r="B33" s="71" t="str">
        <f>INDEX(INDATA!B76:B78,INDATA!J75)</f>
        <v>Kraft-bonus-metoden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4"/>
      <c r="P33" s="68"/>
      <c r="Q33" s="68"/>
    </row>
    <row r="34" spans="1:17" s="280" customFormat="1" x14ac:dyDescent="0.2">
      <c r="A34" s="75" t="s">
        <v>108</v>
      </c>
      <c r="B34" s="71" t="str">
        <f>INDEX(INDATA!B70:B73,INDATA!E69)</f>
        <v>Marginalel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4"/>
      <c r="P34" s="68"/>
      <c r="Q34" s="68"/>
    </row>
    <row r="35" spans="1:17" s="280" customFormat="1" x14ac:dyDescent="0.2">
      <c r="A35" s="71"/>
      <c r="B35" s="71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72"/>
      <c r="N35" s="173"/>
      <c r="P35" s="68"/>
      <c r="Q35" s="68"/>
    </row>
    <row r="36" spans="1:17" x14ac:dyDescent="0.2">
      <c r="A36" s="327" t="s">
        <v>136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4"/>
      <c r="P36" s="68"/>
      <c r="Q36" s="68"/>
    </row>
    <row r="37" spans="1:17" x14ac:dyDescent="0.2">
      <c r="A37" s="75" t="s">
        <v>135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4"/>
      <c r="P37" s="68"/>
      <c r="Q37" s="68"/>
    </row>
    <row r="38" spans="1:17" x14ac:dyDescent="0.2">
      <c r="A38" s="75" t="s">
        <v>126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4"/>
      <c r="P38" s="68"/>
      <c r="Q38" s="68"/>
    </row>
    <row r="39" spans="1:17" x14ac:dyDescent="0.2">
      <c r="A39" s="75" t="s">
        <v>127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173"/>
      <c r="P39" s="68"/>
      <c r="Q39" s="68"/>
    </row>
    <row r="40" spans="1:17" x14ac:dyDescent="0.2">
      <c r="A40" s="76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2"/>
    </row>
    <row r="41" spans="1:17" s="68" customFormat="1" x14ac:dyDescent="0.2">
      <c r="A41" s="149" t="s">
        <v>110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1"/>
    </row>
    <row r="42" spans="1:17" x14ac:dyDescent="0.2">
      <c r="A42" s="7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0"/>
    </row>
    <row r="43" spans="1:17" x14ac:dyDescent="0.2">
      <c r="A43" s="75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4"/>
    </row>
    <row r="44" spans="1:17" x14ac:dyDescent="0.2">
      <c r="A44" s="75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4"/>
    </row>
    <row r="45" spans="1:17" x14ac:dyDescent="0.2">
      <c r="A45" s="75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4"/>
    </row>
    <row r="46" spans="1:17" x14ac:dyDescent="0.2">
      <c r="A46" s="75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4"/>
    </row>
    <row r="47" spans="1:17" x14ac:dyDescent="0.2">
      <c r="A47" s="75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4"/>
    </row>
    <row r="48" spans="1:17" x14ac:dyDescent="0.2">
      <c r="A48" s="75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4"/>
    </row>
    <row r="49" spans="1:14" x14ac:dyDescent="0.2">
      <c r="A49" s="75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4"/>
    </row>
    <row r="50" spans="1:14" x14ac:dyDescent="0.2">
      <c r="A50" s="75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4"/>
    </row>
    <row r="51" spans="1:14" x14ac:dyDescent="0.2">
      <c r="A51" s="75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4"/>
    </row>
    <row r="52" spans="1:14" x14ac:dyDescent="0.2">
      <c r="A52" s="75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4"/>
    </row>
    <row r="53" spans="1:14" x14ac:dyDescent="0.2">
      <c r="A53" s="75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4"/>
    </row>
    <row r="54" spans="1:14" x14ac:dyDescent="0.2">
      <c r="A54" s="75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4"/>
    </row>
    <row r="55" spans="1:14" x14ac:dyDescent="0.2">
      <c r="A55" s="75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4"/>
    </row>
    <row r="56" spans="1:14" x14ac:dyDescent="0.2">
      <c r="A56" s="76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2"/>
    </row>
    <row r="57" spans="1:14" s="296" customFormat="1" x14ac:dyDescent="0.2">
      <c r="A57" s="76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2"/>
    </row>
    <row r="58" spans="1:14" s="68" customFormat="1" x14ac:dyDescent="0.2">
      <c r="A58" s="149" t="s">
        <v>116</v>
      </c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1"/>
    </row>
    <row r="59" spans="1:14" x14ac:dyDescent="0.2">
      <c r="A59" s="318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8"/>
    </row>
    <row r="60" spans="1:14" x14ac:dyDescent="0.2">
      <c r="A60" s="394" t="s">
        <v>391</v>
      </c>
      <c r="B60" s="395"/>
      <c r="C60" s="395"/>
      <c r="D60" s="395"/>
      <c r="E60" s="395"/>
      <c r="F60" s="395"/>
      <c r="G60" s="395"/>
      <c r="H60" s="395"/>
      <c r="I60" s="395"/>
      <c r="J60" s="395"/>
      <c r="K60" s="395"/>
      <c r="L60" s="395"/>
      <c r="M60" s="395"/>
      <c r="N60" s="396"/>
    </row>
    <row r="61" spans="1:14" x14ac:dyDescent="0.2">
      <c r="A61" s="386" t="s">
        <v>382</v>
      </c>
      <c r="B61" s="563" t="s">
        <v>20</v>
      </c>
      <c r="C61" s="563" t="s">
        <v>21</v>
      </c>
      <c r="D61" s="563" t="s">
        <v>22</v>
      </c>
      <c r="E61" s="563" t="s">
        <v>23</v>
      </c>
      <c r="F61" s="563" t="s">
        <v>24</v>
      </c>
      <c r="G61" s="563" t="s">
        <v>25</v>
      </c>
      <c r="H61" s="563" t="s">
        <v>26</v>
      </c>
      <c r="I61" s="563" t="s">
        <v>27</v>
      </c>
      <c r="J61" s="563" t="s">
        <v>28</v>
      </c>
      <c r="K61" s="563" t="s">
        <v>29</v>
      </c>
      <c r="L61" s="563" t="s">
        <v>30</v>
      </c>
      <c r="M61" s="563" t="s">
        <v>31</v>
      </c>
      <c r="N61" s="684" t="s">
        <v>53</v>
      </c>
    </row>
    <row r="62" spans="1:14" x14ac:dyDescent="0.2">
      <c r="A62" s="388" t="s">
        <v>285</v>
      </c>
      <c r="B62" s="389">
        <f>'INTERNA BERÄKNINGAR'!B23</f>
        <v>244.75759953182612</v>
      </c>
      <c r="C62" s="389">
        <f>'INTERNA BERÄKNINGAR'!C23</f>
        <v>230.71332196869145</v>
      </c>
      <c r="D62" s="389">
        <f>'INTERNA BERÄKNINGAR'!D23</f>
        <v>167.91702672338656</v>
      </c>
      <c r="E62" s="389">
        <f>'INTERNA BERÄKNINGAR'!E23</f>
        <v>98.830447970548306</v>
      </c>
      <c r="F62" s="389">
        <f>'INTERNA BERÄKNINGAR'!F23</f>
        <v>1307.4997864595998</v>
      </c>
      <c r="G62" s="389">
        <f>'INTERNA BERÄKNINGAR'!G23</f>
        <v>1741.9331804114488</v>
      </c>
      <c r="H62" s="389">
        <f>'INTERNA BERÄKNINGAR'!H23</f>
        <v>1667.3661218016716</v>
      </c>
      <c r="I62" s="389">
        <f>'INTERNA BERÄKNINGAR'!I23</f>
        <v>1212.9041023575858</v>
      </c>
      <c r="J62" s="389">
        <f>'INTERNA BERÄKNINGAR'!J23</f>
        <v>897.94956347467632</v>
      </c>
      <c r="K62" s="389">
        <f>'INTERNA BERÄKNINGAR'!K23</f>
        <v>68.69072415046999</v>
      </c>
      <c r="L62" s="389">
        <f>'INTERNA BERÄKNINGAR'!L23</f>
        <v>109.15729887602768</v>
      </c>
      <c r="M62" s="389">
        <f>'INTERNA BERÄKNINGAR'!M23</f>
        <v>235.68057359512414</v>
      </c>
      <c r="N62" s="685">
        <f>'INTERNA BERÄKNINGAR'!N23</f>
        <v>7983.3997473210557</v>
      </c>
    </row>
    <row r="63" spans="1:14" x14ac:dyDescent="0.2">
      <c r="A63" s="390" t="s">
        <v>286</v>
      </c>
      <c r="B63" s="391">
        <f>'INTERNA BERÄKNINGAR'!B18</f>
        <v>736.48791128684263</v>
      </c>
      <c r="C63" s="391">
        <f>'INTERNA BERÄKNINGAR'!C18</f>
        <v>690.21189522505927</v>
      </c>
      <c r="D63" s="391">
        <f>'INTERNA BERÄKNINGAR'!D18</f>
        <v>642.80213750893904</v>
      </c>
      <c r="E63" s="391">
        <f>'INTERNA BERÄKNINGAR'!E18</f>
        <v>457.67791017344121</v>
      </c>
      <c r="F63" s="391">
        <f>'INTERNA BERÄKNINGAR'!F18</f>
        <v>285.06689547709806</v>
      </c>
      <c r="G63" s="391">
        <f>'INTERNA BERÄKNINGAR'!G18</f>
        <v>170.98068497999478</v>
      </c>
      <c r="H63" s="391">
        <f>'INTERNA BERÄKNINGAR'!H18</f>
        <v>133.68876500529836</v>
      </c>
      <c r="I63" s="391">
        <f>'INTERNA BERÄKNINGAR'!I18</f>
        <v>162.69768827976179</v>
      </c>
      <c r="J63" s="391">
        <f>'INTERNA BERÄKNINGAR'!J18</f>
        <v>243.75906438838544</v>
      </c>
      <c r="K63" s="391">
        <f>'INTERNA BERÄKNINGAR'!K18</f>
        <v>426.01322011722277</v>
      </c>
      <c r="L63" s="391">
        <f>'INTERNA BERÄKNINGAR'!L18</f>
        <v>560.20894277283458</v>
      </c>
      <c r="M63" s="391">
        <f>'INTERNA BERÄKNINGAR'!M18</f>
        <v>690.40488478512179</v>
      </c>
      <c r="N63" s="686">
        <f>'INTERNA BERÄKNINGAR'!N18</f>
        <v>5200</v>
      </c>
    </row>
    <row r="64" spans="1:14" x14ac:dyDescent="0.2">
      <c r="A64" s="392" t="s">
        <v>103</v>
      </c>
      <c r="B64" s="393">
        <f>B62-B63</f>
        <v>-491.73031175501649</v>
      </c>
      <c r="C64" s="393">
        <f t="shared" ref="C64:N64" si="3">C62-C63</f>
        <v>-459.49857325636782</v>
      </c>
      <c r="D64" s="393">
        <f t="shared" si="3"/>
        <v>-474.88511078555246</v>
      </c>
      <c r="E64" s="393">
        <f t="shared" si="3"/>
        <v>-358.84746220289287</v>
      </c>
      <c r="F64" s="393">
        <f t="shared" si="3"/>
        <v>1022.4328909825017</v>
      </c>
      <c r="G64" s="393">
        <f t="shared" si="3"/>
        <v>1570.9524954314541</v>
      </c>
      <c r="H64" s="393">
        <f t="shared" si="3"/>
        <v>1533.6773567963733</v>
      </c>
      <c r="I64" s="393">
        <f t="shared" si="3"/>
        <v>1050.2064140778239</v>
      </c>
      <c r="J64" s="393">
        <f t="shared" si="3"/>
        <v>654.19049908629086</v>
      </c>
      <c r="K64" s="393">
        <f t="shared" si="3"/>
        <v>-357.3224959667528</v>
      </c>
      <c r="L64" s="393">
        <f t="shared" si="3"/>
        <v>-451.05164389680692</v>
      </c>
      <c r="M64" s="393">
        <f t="shared" si="3"/>
        <v>-454.72431118999765</v>
      </c>
      <c r="N64" s="655">
        <f t="shared" si="3"/>
        <v>2783.3997473210557</v>
      </c>
    </row>
    <row r="65" spans="1:14" x14ac:dyDescent="0.2">
      <c r="A65" s="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656"/>
    </row>
    <row r="66" spans="1:14" x14ac:dyDescent="0.2">
      <c r="A66" s="394" t="s">
        <v>114</v>
      </c>
      <c r="B66" s="395"/>
      <c r="C66" s="395"/>
      <c r="D66" s="395"/>
      <c r="E66" s="395"/>
      <c r="F66" s="395"/>
      <c r="G66" s="395"/>
      <c r="H66" s="395"/>
      <c r="I66" s="395"/>
      <c r="J66" s="395"/>
      <c r="K66" s="395"/>
      <c r="L66" s="395"/>
      <c r="M66" s="395"/>
      <c r="N66" s="657"/>
    </row>
    <row r="67" spans="1:14" x14ac:dyDescent="0.2">
      <c r="A67" s="397" t="s">
        <v>109</v>
      </c>
      <c r="B67" s="398"/>
      <c r="C67" s="399"/>
      <c r="D67" s="399"/>
      <c r="E67" s="399"/>
      <c r="F67" s="399"/>
      <c r="G67" s="399"/>
      <c r="H67" s="399"/>
      <c r="I67" s="399"/>
      <c r="J67" s="399"/>
      <c r="K67" s="399"/>
      <c r="L67" s="399"/>
      <c r="M67" s="399"/>
      <c r="N67" s="687"/>
    </row>
    <row r="68" spans="1:14" x14ac:dyDescent="0.2">
      <c r="A68" s="386" t="s">
        <v>383</v>
      </c>
      <c r="B68" s="563" t="s">
        <v>20</v>
      </c>
      <c r="C68" s="563" t="s">
        <v>21</v>
      </c>
      <c r="D68" s="563" t="s">
        <v>22</v>
      </c>
      <c r="E68" s="563" t="s">
        <v>23</v>
      </c>
      <c r="F68" s="563" t="s">
        <v>24</v>
      </c>
      <c r="G68" s="563" t="s">
        <v>25</v>
      </c>
      <c r="H68" s="563" t="s">
        <v>26</v>
      </c>
      <c r="I68" s="563" t="s">
        <v>27</v>
      </c>
      <c r="J68" s="563" t="s">
        <v>28</v>
      </c>
      <c r="K68" s="563" t="s">
        <v>29</v>
      </c>
      <c r="L68" s="563" t="s">
        <v>30</v>
      </c>
      <c r="M68" s="563" t="s">
        <v>31</v>
      </c>
      <c r="N68" s="684" t="s">
        <v>53</v>
      </c>
    </row>
    <row r="69" spans="1:14" x14ac:dyDescent="0.2">
      <c r="A69" s="388" t="s">
        <v>63</v>
      </c>
      <c r="B69" s="389">
        <f>'INTERNA BERÄKNINGAR'!B16</f>
        <v>133.68876500529836</v>
      </c>
      <c r="C69" s="389">
        <f>'INTERNA BERÄKNINGAR'!C16</f>
        <v>133.68876500529836</v>
      </c>
      <c r="D69" s="389">
        <f>'INTERNA BERÄKNINGAR'!D16</f>
        <v>133.68876500529836</v>
      </c>
      <c r="E69" s="389">
        <f>'INTERNA BERÄKNINGAR'!E16</f>
        <v>133.68876500529836</v>
      </c>
      <c r="F69" s="389">
        <f>'INTERNA BERÄKNINGAR'!F16</f>
        <v>133.68876500529836</v>
      </c>
      <c r="G69" s="389">
        <f>'INTERNA BERÄKNINGAR'!G16</f>
        <v>133.68876500529836</v>
      </c>
      <c r="H69" s="389">
        <f>'INTERNA BERÄKNINGAR'!H16</f>
        <v>133.68876500529836</v>
      </c>
      <c r="I69" s="389">
        <f>'INTERNA BERÄKNINGAR'!I16</f>
        <v>133.68876500529836</v>
      </c>
      <c r="J69" s="389">
        <f>'INTERNA BERÄKNINGAR'!J16</f>
        <v>133.68876500529836</v>
      </c>
      <c r="K69" s="389">
        <f>'INTERNA BERÄKNINGAR'!K16</f>
        <v>133.68876500529836</v>
      </c>
      <c r="L69" s="389">
        <f>'INTERNA BERÄKNINGAR'!L16</f>
        <v>133.68876500529836</v>
      </c>
      <c r="M69" s="389">
        <f>'INTERNA BERÄKNINGAR'!M16</f>
        <v>133.68876500529836</v>
      </c>
      <c r="N69" s="685">
        <f>'INTERNA BERÄKNINGAR'!N16</f>
        <v>1604.2651800635804</v>
      </c>
    </row>
    <row r="70" spans="1:14" x14ac:dyDescent="0.2">
      <c r="A70" s="400" t="s">
        <v>65</v>
      </c>
      <c r="B70" s="401">
        <f>'INTERNA BERÄKNINGAR'!B17</f>
        <v>602.79914628154427</v>
      </c>
      <c r="C70" s="401">
        <f>'INTERNA BERÄKNINGAR'!C17</f>
        <v>556.5231302197609</v>
      </c>
      <c r="D70" s="401">
        <f>'INTERNA BERÄKNINGAR'!D17</f>
        <v>509.11337250364068</v>
      </c>
      <c r="E70" s="401">
        <f>'INTERNA BERÄKNINGAR'!E17</f>
        <v>323.98914516814284</v>
      </c>
      <c r="F70" s="401">
        <f>'INTERNA BERÄKNINGAR'!F17</f>
        <v>151.37813047179969</v>
      </c>
      <c r="G70" s="401">
        <f>'INTERNA BERÄKNINGAR'!G17</f>
        <v>37.29191997469642</v>
      </c>
      <c r="H70" s="401">
        <f>'INTERNA BERÄKNINGAR'!H17</f>
        <v>0</v>
      </c>
      <c r="I70" s="401">
        <f>'INTERNA BERÄKNINGAR'!I17</f>
        <v>29.008923274463406</v>
      </c>
      <c r="J70" s="401">
        <f>'INTERNA BERÄKNINGAR'!J17</f>
        <v>110.07029938308709</v>
      </c>
      <c r="K70" s="401">
        <f>'INTERNA BERÄKNINGAR'!K17</f>
        <v>292.32445511192441</v>
      </c>
      <c r="L70" s="401">
        <f>'INTERNA BERÄKNINGAR'!L17</f>
        <v>426.52017776753621</v>
      </c>
      <c r="M70" s="401">
        <f>'INTERNA BERÄKNINGAR'!M17</f>
        <v>556.71611977982343</v>
      </c>
      <c r="N70" s="688">
        <f>'INTERNA BERÄKNINGAR'!N17</f>
        <v>3595.7348199364196</v>
      </c>
    </row>
    <row r="71" spans="1:14" x14ac:dyDescent="0.2">
      <c r="A71" s="402" t="s">
        <v>41</v>
      </c>
      <c r="B71" s="403">
        <f>'INTERNA BERÄKNINGAR'!B18</f>
        <v>736.48791128684263</v>
      </c>
      <c r="C71" s="403">
        <f>'INTERNA BERÄKNINGAR'!C18</f>
        <v>690.21189522505927</v>
      </c>
      <c r="D71" s="403">
        <f>'INTERNA BERÄKNINGAR'!D18</f>
        <v>642.80213750893904</v>
      </c>
      <c r="E71" s="403">
        <f>'INTERNA BERÄKNINGAR'!E18</f>
        <v>457.67791017344121</v>
      </c>
      <c r="F71" s="403">
        <f>'INTERNA BERÄKNINGAR'!F18</f>
        <v>285.06689547709806</v>
      </c>
      <c r="G71" s="403">
        <f>'INTERNA BERÄKNINGAR'!G18</f>
        <v>170.98068497999478</v>
      </c>
      <c r="H71" s="403">
        <f>'INTERNA BERÄKNINGAR'!H18</f>
        <v>133.68876500529836</v>
      </c>
      <c r="I71" s="403">
        <f>'INTERNA BERÄKNINGAR'!I18</f>
        <v>162.69768827976179</v>
      </c>
      <c r="J71" s="403">
        <f>'INTERNA BERÄKNINGAR'!J18</f>
        <v>243.75906438838544</v>
      </c>
      <c r="K71" s="403">
        <f>'INTERNA BERÄKNINGAR'!K18</f>
        <v>426.01322011722277</v>
      </c>
      <c r="L71" s="403">
        <f>'INTERNA BERÄKNINGAR'!L18</f>
        <v>560.20894277283458</v>
      </c>
      <c r="M71" s="403">
        <f>'INTERNA BERÄKNINGAR'!M18</f>
        <v>690.40488478512179</v>
      </c>
      <c r="N71" s="655">
        <f>'INTERNA BERÄKNINGAR'!N18</f>
        <v>5200</v>
      </c>
    </row>
    <row r="72" spans="1:14" x14ac:dyDescent="0.2">
      <c r="A72" s="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689"/>
    </row>
    <row r="73" spans="1:14" x14ac:dyDescent="0.2">
      <c r="A73" s="402" t="s">
        <v>384</v>
      </c>
      <c r="B73" s="563" t="s">
        <v>20</v>
      </c>
      <c r="C73" s="563" t="s">
        <v>21</v>
      </c>
      <c r="D73" s="563" t="s">
        <v>22</v>
      </c>
      <c r="E73" s="563" t="s">
        <v>23</v>
      </c>
      <c r="F73" s="563" t="s">
        <v>24</v>
      </c>
      <c r="G73" s="563" t="s">
        <v>25</v>
      </c>
      <c r="H73" s="563" t="s">
        <v>26</v>
      </c>
      <c r="I73" s="563" t="s">
        <v>27</v>
      </c>
      <c r="J73" s="563" t="s">
        <v>28</v>
      </c>
      <c r="K73" s="563" t="s">
        <v>29</v>
      </c>
      <c r="L73" s="563" t="s">
        <v>30</v>
      </c>
      <c r="M73" s="563" t="s">
        <v>31</v>
      </c>
      <c r="N73" s="684" t="s">
        <v>53</v>
      </c>
    </row>
    <row r="74" spans="1:14" x14ac:dyDescent="0.2">
      <c r="A74" s="404" t="s">
        <v>66</v>
      </c>
      <c r="B74" s="389">
        <f>'INTERNA BERÄKNINGAR'!B21</f>
        <v>244.75759953182612</v>
      </c>
      <c r="C74" s="389">
        <f>'INTERNA BERÄKNINGAR'!C21</f>
        <v>230.71332196869145</v>
      </c>
      <c r="D74" s="389">
        <f>'INTERNA BERÄKNINGAR'!D21</f>
        <v>167.91702672338656</v>
      </c>
      <c r="E74" s="389">
        <f>'INTERNA BERÄKNINGAR'!E21</f>
        <v>98.830447970548306</v>
      </c>
      <c r="F74" s="389">
        <f>'INTERNA BERÄKNINGAR'!F21</f>
        <v>285.06689547709806</v>
      </c>
      <c r="G74" s="389">
        <f>'INTERNA BERÄKNINGAR'!G21</f>
        <v>170.98068497999478</v>
      </c>
      <c r="H74" s="389">
        <f>'INTERNA BERÄKNINGAR'!H21</f>
        <v>133.68876500529836</v>
      </c>
      <c r="I74" s="389">
        <f>'INTERNA BERÄKNINGAR'!I21</f>
        <v>162.69768827976179</v>
      </c>
      <c r="J74" s="389">
        <f>'INTERNA BERÄKNINGAR'!J21</f>
        <v>243.75906438838544</v>
      </c>
      <c r="K74" s="389">
        <f>'INTERNA BERÄKNINGAR'!K21</f>
        <v>68.69072415046999</v>
      </c>
      <c r="L74" s="389">
        <f>'INTERNA BERÄKNINGAR'!L21</f>
        <v>109.15729887602768</v>
      </c>
      <c r="M74" s="389">
        <f>'INTERNA BERÄKNINGAR'!M21</f>
        <v>235.68057359512414</v>
      </c>
      <c r="N74" s="685">
        <f>'INTERNA BERÄKNINGAR'!N21</f>
        <v>2151.9400909466131</v>
      </c>
    </row>
    <row r="75" spans="1:14" x14ac:dyDescent="0.2">
      <c r="A75" s="390" t="s">
        <v>67</v>
      </c>
      <c r="B75" s="391">
        <f>'INTERNA BERÄKNINGAR'!B22</f>
        <v>0</v>
      </c>
      <c r="C75" s="391">
        <f>'INTERNA BERÄKNINGAR'!C22</f>
        <v>0</v>
      </c>
      <c r="D75" s="391">
        <f>'INTERNA BERÄKNINGAR'!D22</f>
        <v>0</v>
      </c>
      <c r="E75" s="391">
        <f>'INTERNA BERÄKNINGAR'!E22</f>
        <v>0</v>
      </c>
      <c r="F75" s="391">
        <f>'INTERNA BERÄKNINGAR'!F22</f>
        <v>1022.4328909825018</v>
      </c>
      <c r="G75" s="391">
        <f>'INTERNA BERÄKNINGAR'!G22</f>
        <v>1570.9524954314541</v>
      </c>
      <c r="H75" s="391">
        <f>'INTERNA BERÄKNINGAR'!H22</f>
        <v>1533.6773567963733</v>
      </c>
      <c r="I75" s="391">
        <f>'INTERNA BERÄKNINGAR'!I22</f>
        <v>1050.2064140778239</v>
      </c>
      <c r="J75" s="391">
        <f>'INTERNA BERÄKNINGAR'!J22</f>
        <v>654.19049908629074</v>
      </c>
      <c r="K75" s="391">
        <f>'INTERNA BERÄKNINGAR'!K22</f>
        <v>0</v>
      </c>
      <c r="L75" s="391">
        <f>'INTERNA BERÄKNINGAR'!L22</f>
        <v>0</v>
      </c>
      <c r="M75" s="391">
        <f>'INTERNA BERÄKNINGAR'!M22</f>
        <v>0</v>
      </c>
      <c r="N75" s="686">
        <f>'INTERNA BERÄKNINGAR'!N22</f>
        <v>5831.4596563744435</v>
      </c>
    </row>
    <row r="76" spans="1:14" x14ac:dyDescent="0.2">
      <c r="A76" s="405" t="s">
        <v>68</v>
      </c>
      <c r="B76" s="391">
        <f>'INTERNA BERÄKNINGAR'!B23</f>
        <v>244.75759953182612</v>
      </c>
      <c r="C76" s="391">
        <f>'INTERNA BERÄKNINGAR'!C23</f>
        <v>230.71332196869145</v>
      </c>
      <c r="D76" s="391">
        <f>'INTERNA BERÄKNINGAR'!D23</f>
        <v>167.91702672338656</v>
      </c>
      <c r="E76" s="391">
        <f>'INTERNA BERÄKNINGAR'!E23</f>
        <v>98.830447970548306</v>
      </c>
      <c r="F76" s="391">
        <f>'INTERNA BERÄKNINGAR'!F23</f>
        <v>1307.4997864595998</v>
      </c>
      <c r="G76" s="391">
        <f>'INTERNA BERÄKNINGAR'!G23</f>
        <v>1741.9331804114488</v>
      </c>
      <c r="H76" s="391">
        <f>'INTERNA BERÄKNINGAR'!H23</f>
        <v>1667.3661218016716</v>
      </c>
      <c r="I76" s="391">
        <f>'INTERNA BERÄKNINGAR'!I23</f>
        <v>1212.9041023575858</v>
      </c>
      <c r="J76" s="391">
        <f>'INTERNA BERÄKNINGAR'!J23</f>
        <v>897.94956347467632</v>
      </c>
      <c r="K76" s="391">
        <f>'INTERNA BERÄKNINGAR'!K23</f>
        <v>68.69072415046999</v>
      </c>
      <c r="L76" s="391">
        <f>'INTERNA BERÄKNINGAR'!L23</f>
        <v>109.15729887602768</v>
      </c>
      <c r="M76" s="391">
        <f>'INTERNA BERÄKNINGAR'!M23</f>
        <v>235.68057359512414</v>
      </c>
      <c r="N76" s="686">
        <f>'INTERNA BERÄKNINGAR'!N23</f>
        <v>7983.3997473210557</v>
      </c>
    </row>
    <row r="77" spans="1:14" x14ac:dyDescent="0.2">
      <c r="A77" s="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689"/>
    </row>
    <row r="78" spans="1:14" x14ac:dyDescent="0.2">
      <c r="A78" s="406" t="s">
        <v>385</v>
      </c>
      <c r="B78" s="563" t="s">
        <v>20</v>
      </c>
      <c r="C78" s="563" t="s">
        <v>21</v>
      </c>
      <c r="D78" s="563" t="s">
        <v>22</v>
      </c>
      <c r="E78" s="563" t="s">
        <v>23</v>
      </c>
      <c r="F78" s="563" t="s">
        <v>24</v>
      </c>
      <c r="G78" s="563" t="s">
        <v>25</v>
      </c>
      <c r="H78" s="563" t="s">
        <v>26</v>
      </c>
      <c r="I78" s="563" t="s">
        <v>27</v>
      </c>
      <c r="J78" s="563" t="s">
        <v>28</v>
      </c>
      <c r="K78" s="563" t="s">
        <v>29</v>
      </c>
      <c r="L78" s="563" t="s">
        <v>30</v>
      </c>
      <c r="M78" s="563" t="s">
        <v>31</v>
      </c>
      <c r="N78" s="684" t="s">
        <v>53</v>
      </c>
    </row>
    <row r="79" spans="1:14" x14ac:dyDescent="0.2">
      <c r="A79" s="404" t="s">
        <v>328</v>
      </c>
      <c r="B79" s="389">
        <f>'INTERNA BERÄKNINGAR'!B26</f>
        <v>0</v>
      </c>
      <c r="C79" s="389">
        <f>'INTERNA BERÄKNINGAR'!C26</f>
        <v>0</v>
      </c>
      <c r="D79" s="389">
        <f>'INTERNA BERÄKNINGAR'!D26</f>
        <v>0</v>
      </c>
      <c r="E79" s="389">
        <f>'INTERNA BERÄKNINGAR'!E26</f>
        <v>0</v>
      </c>
      <c r="F79" s="389">
        <f>'INTERNA BERÄKNINGAR'!F26</f>
        <v>1022.4328909825018</v>
      </c>
      <c r="G79" s="389">
        <f>'INTERNA BERÄKNINGAR'!G26</f>
        <v>1570.9524954314541</v>
      </c>
      <c r="H79" s="389">
        <f>'INTERNA BERÄKNINGAR'!H26</f>
        <v>1533.6773567963733</v>
      </c>
      <c r="I79" s="389">
        <f>'INTERNA BERÄKNINGAR'!I26</f>
        <v>1050.2064140778239</v>
      </c>
      <c r="J79" s="389">
        <f>'INTERNA BERÄKNINGAR'!J26</f>
        <v>654.19049908629074</v>
      </c>
      <c r="K79" s="389">
        <f>'INTERNA BERÄKNINGAR'!K26</f>
        <v>0</v>
      </c>
      <c r="L79" s="389">
        <f>'INTERNA BERÄKNINGAR'!L26</f>
        <v>0</v>
      </c>
      <c r="M79" s="389">
        <f>'INTERNA BERÄKNINGAR'!M26</f>
        <v>0</v>
      </c>
      <c r="N79" s="685">
        <f>'INTERNA BERÄKNINGAR'!N26</f>
        <v>5831.4596563744435</v>
      </c>
    </row>
    <row r="80" spans="1:14" x14ac:dyDescent="0.2">
      <c r="A80" s="390" t="s">
        <v>329</v>
      </c>
      <c r="B80" s="391">
        <f>'INTERNA BERÄKNINGAR'!B27</f>
        <v>491.45295380935573</v>
      </c>
      <c r="C80" s="391">
        <f>'INTERNA BERÄKNINGAR'!C27</f>
        <v>459.48893162774283</v>
      </c>
      <c r="D80" s="391">
        <f>'INTERNA BERÄKNINGAR'!D27</f>
        <v>474.87200371798485</v>
      </c>
      <c r="E80" s="391">
        <f>'INTERNA BERÄKNINGAR'!E27</f>
        <v>358.75876526564588</v>
      </c>
      <c r="F80" s="391">
        <f>'INTERNA BERÄKNINGAR'!F27</f>
        <v>0</v>
      </c>
      <c r="G80" s="391">
        <f>'INTERNA BERÄKNINGAR'!G27</f>
        <v>0</v>
      </c>
      <c r="H80" s="391">
        <f>'INTERNA BERÄKNINGAR'!H27</f>
        <v>0</v>
      </c>
      <c r="I80" s="391">
        <f>'INTERNA BERÄKNINGAR'!I27</f>
        <v>0</v>
      </c>
      <c r="J80" s="391">
        <f>'INTERNA BERÄKNINGAR'!J27</f>
        <v>0</v>
      </c>
      <c r="K80" s="391">
        <f>'INTERNA BERÄKNINGAR'!K27</f>
        <v>357.21379299266204</v>
      </c>
      <c r="L80" s="391">
        <f>'INTERNA BERÄKNINGAR'!L27</f>
        <v>450.85401480879125</v>
      </c>
      <c r="M80" s="391">
        <f>'INTERNA BERÄKNINGAR'!M27</f>
        <v>454.45295380935573</v>
      </c>
      <c r="N80" s="686">
        <f>'INTERNA BERÄKNINGAR'!N27</f>
        <v>3047.0934160315383</v>
      </c>
    </row>
    <row r="81" spans="1:16" x14ac:dyDescent="0.2">
      <c r="A81" s="390" t="s">
        <v>91</v>
      </c>
      <c r="B81" s="407"/>
      <c r="C81" s="407"/>
      <c r="D81" s="407"/>
      <c r="E81" s="407"/>
      <c r="F81" s="407"/>
      <c r="G81" s="407"/>
      <c r="H81" s="407"/>
      <c r="I81" s="407"/>
      <c r="J81" s="407"/>
      <c r="K81" s="407"/>
      <c r="L81" s="407"/>
      <c r="M81" s="407"/>
      <c r="N81" s="690">
        <f>'INTERNA BERÄKNINGAR'!N28</f>
        <v>2784.3662403429053</v>
      </c>
    </row>
    <row r="82" spans="1:16" x14ac:dyDescent="0.2">
      <c r="N82" s="26"/>
    </row>
    <row r="83" spans="1:16" s="68" customFormat="1" x14ac:dyDescent="0.2">
      <c r="A83" s="410" t="s">
        <v>111</v>
      </c>
      <c r="B83" s="411"/>
      <c r="C83" s="411"/>
      <c r="D83" s="411"/>
      <c r="E83" s="411"/>
      <c r="F83" s="411"/>
      <c r="G83" s="411"/>
      <c r="H83" s="411"/>
      <c r="I83" s="411"/>
      <c r="J83" s="411"/>
      <c r="K83" s="411"/>
      <c r="L83" s="411"/>
      <c r="M83" s="411"/>
      <c r="N83" s="658"/>
    </row>
    <row r="84" spans="1:16" x14ac:dyDescent="0.2">
      <c r="A84" s="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583"/>
    </row>
    <row r="85" spans="1:16" s="68" customFormat="1" x14ac:dyDescent="0.2">
      <c r="A85" s="408" t="s">
        <v>113</v>
      </c>
      <c r="B85" s="409"/>
      <c r="C85" s="409"/>
      <c r="D85" s="409"/>
      <c r="E85" s="409"/>
      <c r="F85" s="409"/>
      <c r="G85" s="409"/>
      <c r="H85" s="409"/>
      <c r="I85" s="409"/>
      <c r="J85" s="409"/>
      <c r="K85" s="409"/>
      <c r="L85" s="409"/>
      <c r="M85" s="409"/>
      <c r="N85" s="659"/>
    </row>
    <row r="86" spans="1:16" x14ac:dyDescent="0.2">
      <c r="A86" s="412" t="s">
        <v>386</v>
      </c>
      <c r="B86" s="564" t="s">
        <v>20</v>
      </c>
      <c r="C86" s="565" t="s">
        <v>21</v>
      </c>
      <c r="D86" s="565" t="s">
        <v>22</v>
      </c>
      <c r="E86" s="565" t="s">
        <v>23</v>
      </c>
      <c r="F86" s="565" t="s">
        <v>24</v>
      </c>
      <c r="G86" s="565" t="s">
        <v>25</v>
      </c>
      <c r="H86" s="565" t="s">
        <v>26</v>
      </c>
      <c r="I86" s="565" t="s">
        <v>27</v>
      </c>
      <c r="J86" s="565" t="s">
        <v>28</v>
      </c>
      <c r="K86" s="565" t="s">
        <v>29</v>
      </c>
      <c r="L86" s="565" t="s">
        <v>30</v>
      </c>
      <c r="M86" s="565" t="s">
        <v>31</v>
      </c>
      <c r="N86" s="691" t="s">
        <v>53</v>
      </c>
    </row>
    <row r="87" spans="1:16" x14ac:dyDescent="0.2">
      <c r="A87" s="414" t="s">
        <v>285</v>
      </c>
      <c r="B87" s="415">
        <f>B76</f>
        <v>244.75759953182612</v>
      </c>
      <c r="C87" s="416">
        <f t="shared" ref="C87:N87" si="4">C76</f>
        <v>230.71332196869145</v>
      </c>
      <c r="D87" s="416">
        <f t="shared" si="4"/>
        <v>167.91702672338656</v>
      </c>
      <c r="E87" s="416">
        <f t="shared" si="4"/>
        <v>98.830447970548306</v>
      </c>
      <c r="F87" s="416">
        <f t="shared" si="4"/>
        <v>1307.4997864595998</v>
      </c>
      <c r="G87" s="416">
        <f t="shared" si="4"/>
        <v>1741.9331804114488</v>
      </c>
      <c r="H87" s="416">
        <f t="shared" si="4"/>
        <v>1667.3661218016716</v>
      </c>
      <c r="I87" s="416">
        <f t="shared" si="4"/>
        <v>1212.9041023575858</v>
      </c>
      <c r="J87" s="416">
        <f t="shared" si="4"/>
        <v>897.94956347467632</v>
      </c>
      <c r="K87" s="416">
        <f t="shared" si="4"/>
        <v>68.69072415046999</v>
      </c>
      <c r="L87" s="416">
        <f t="shared" si="4"/>
        <v>109.15729887602768</v>
      </c>
      <c r="M87" s="416">
        <f t="shared" si="4"/>
        <v>235.68057359512414</v>
      </c>
      <c r="N87" s="692">
        <f t="shared" si="4"/>
        <v>7983.3997473210557</v>
      </c>
    </row>
    <row r="88" spans="1:16" x14ac:dyDescent="0.2">
      <c r="A88" s="417" t="s">
        <v>286</v>
      </c>
      <c r="B88" s="418">
        <f t="shared" ref="B88:N88" si="5">B71</f>
        <v>736.48791128684263</v>
      </c>
      <c r="C88" s="419">
        <f t="shared" si="5"/>
        <v>690.21189522505927</v>
      </c>
      <c r="D88" s="419">
        <f t="shared" si="5"/>
        <v>642.80213750893904</v>
      </c>
      <c r="E88" s="419">
        <f t="shared" si="5"/>
        <v>457.67791017344121</v>
      </c>
      <c r="F88" s="419">
        <f t="shared" si="5"/>
        <v>285.06689547709806</v>
      </c>
      <c r="G88" s="419">
        <f t="shared" si="5"/>
        <v>170.98068497999478</v>
      </c>
      <c r="H88" s="419">
        <f t="shared" si="5"/>
        <v>133.68876500529836</v>
      </c>
      <c r="I88" s="419">
        <f t="shared" si="5"/>
        <v>162.69768827976179</v>
      </c>
      <c r="J88" s="419">
        <f t="shared" si="5"/>
        <v>243.75906438838544</v>
      </c>
      <c r="K88" s="419">
        <f t="shared" si="5"/>
        <v>426.01322011722277</v>
      </c>
      <c r="L88" s="419">
        <f t="shared" si="5"/>
        <v>560.20894277283458</v>
      </c>
      <c r="M88" s="419">
        <f t="shared" si="5"/>
        <v>690.40488478512179</v>
      </c>
      <c r="N88" s="693">
        <f t="shared" si="5"/>
        <v>5200</v>
      </c>
      <c r="O88" s="27"/>
    </row>
    <row r="89" spans="1:16" s="296" customFormat="1" x14ac:dyDescent="0.2">
      <c r="A89" s="413" t="s">
        <v>330</v>
      </c>
      <c r="B89" s="419">
        <f>B87-B88</f>
        <v>-491.73031175501649</v>
      </c>
      <c r="C89" s="419">
        <f t="shared" ref="C89:N89" si="6">C87-C88</f>
        <v>-459.49857325636782</v>
      </c>
      <c r="D89" s="419">
        <f t="shared" si="6"/>
        <v>-474.88511078555246</v>
      </c>
      <c r="E89" s="419">
        <f t="shared" si="6"/>
        <v>-358.84746220289287</v>
      </c>
      <c r="F89" s="419">
        <f t="shared" si="6"/>
        <v>1022.4328909825017</v>
      </c>
      <c r="G89" s="419">
        <f t="shared" si="6"/>
        <v>1570.9524954314541</v>
      </c>
      <c r="H89" s="419">
        <f t="shared" si="6"/>
        <v>1533.6773567963733</v>
      </c>
      <c r="I89" s="419">
        <f t="shared" si="6"/>
        <v>1050.2064140778239</v>
      </c>
      <c r="J89" s="419">
        <f t="shared" si="6"/>
        <v>654.19049908629086</v>
      </c>
      <c r="K89" s="419">
        <f t="shared" si="6"/>
        <v>-357.3224959667528</v>
      </c>
      <c r="L89" s="419">
        <f t="shared" si="6"/>
        <v>-451.05164389680692</v>
      </c>
      <c r="M89" s="419">
        <f t="shared" si="6"/>
        <v>-454.72431118999765</v>
      </c>
      <c r="N89" s="693">
        <f t="shared" si="6"/>
        <v>2783.3997473210557</v>
      </c>
      <c r="O89" s="27"/>
    </row>
    <row r="90" spans="1:16" x14ac:dyDescent="0.2">
      <c r="A90" s="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583"/>
    </row>
    <row r="91" spans="1:16" x14ac:dyDescent="0.2">
      <c r="A91" s="412" t="s">
        <v>284</v>
      </c>
      <c r="B91" s="564" t="s">
        <v>20</v>
      </c>
      <c r="C91" s="565" t="s">
        <v>21</v>
      </c>
      <c r="D91" s="565" t="s">
        <v>22</v>
      </c>
      <c r="E91" s="565" t="s">
        <v>23</v>
      </c>
      <c r="F91" s="565" t="s">
        <v>24</v>
      </c>
      <c r="G91" s="565" t="s">
        <v>25</v>
      </c>
      <c r="H91" s="565" t="s">
        <v>26</v>
      </c>
      <c r="I91" s="565" t="s">
        <v>27</v>
      </c>
      <c r="J91" s="565" t="s">
        <v>28</v>
      </c>
      <c r="K91" s="565" t="s">
        <v>29</v>
      </c>
      <c r="L91" s="565" t="s">
        <v>30</v>
      </c>
      <c r="M91" s="566" t="s">
        <v>31</v>
      </c>
      <c r="N91" s="583"/>
      <c r="O91" s="27"/>
      <c r="P91" s="280"/>
    </row>
    <row r="92" spans="1:16" x14ac:dyDescent="0.2">
      <c r="A92" s="414" t="str">
        <f>INDATA!A57</f>
        <v>HVC EO1</v>
      </c>
      <c r="B92" s="422">
        <f>INDATA!B57</f>
        <v>0</v>
      </c>
      <c r="C92" s="423">
        <f>INDATA!C57</f>
        <v>0</v>
      </c>
      <c r="D92" s="423">
        <f>INDATA!D57</f>
        <v>0</v>
      </c>
      <c r="E92" s="423">
        <f>INDATA!E57</f>
        <v>0</v>
      </c>
      <c r="F92" s="423">
        <f>INDATA!F57</f>
        <v>0</v>
      </c>
      <c r="G92" s="423">
        <f>INDATA!G57</f>
        <v>0</v>
      </c>
      <c r="H92" s="423">
        <f>INDATA!H57</f>
        <v>0</v>
      </c>
      <c r="I92" s="423">
        <f>INDATA!I57</f>
        <v>0</v>
      </c>
      <c r="J92" s="423">
        <f>INDATA!J57</f>
        <v>0</v>
      </c>
      <c r="K92" s="423">
        <f>INDATA!K57</f>
        <v>0</v>
      </c>
      <c r="L92" s="423">
        <f>INDATA!L57</f>
        <v>0</v>
      </c>
      <c r="M92" s="424">
        <f>INDATA!M57</f>
        <v>0</v>
      </c>
      <c r="N92" s="583"/>
      <c r="O92" s="27"/>
      <c r="P92" s="280"/>
    </row>
    <row r="93" spans="1:16" x14ac:dyDescent="0.2">
      <c r="A93" s="414" t="str">
        <f>INDATA!A58</f>
        <v>HVC bioolja</v>
      </c>
      <c r="B93" s="422">
        <f>INDATA!B58</f>
        <v>0</v>
      </c>
      <c r="C93" s="423">
        <f>INDATA!C58</f>
        <v>0</v>
      </c>
      <c r="D93" s="423">
        <f>INDATA!D58</f>
        <v>0</v>
      </c>
      <c r="E93" s="423">
        <f>INDATA!E58</f>
        <v>0</v>
      </c>
      <c r="F93" s="423">
        <f>INDATA!F58</f>
        <v>0</v>
      </c>
      <c r="G93" s="423">
        <f>INDATA!G58</f>
        <v>0</v>
      </c>
      <c r="H93" s="423">
        <f>INDATA!H58</f>
        <v>0</v>
      </c>
      <c r="I93" s="423">
        <f>INDATA!I58</f>
        <v>0</v>
      </c>
      <c r="J93" s="423">
        <f>INDATA!J58</f>
        <v>0</v>
      </c>
      <c r="K93" s="423">
        <f>INDATA!K58</f>
        <v>0</v>
      </c>
      <c r="L93" s="423">
        <f>INDATA!L58</f>
        <v>0</v>
      </c>
      <c r="M93" s="424">
        <f>INDATA!M58</f>
        <v>0</v>
      </c>
      <c r="N93" s="583"/>
      <c r="O93" s="27"/>
    </row>
    <row r="94" spans="1:16" x14ac:dyDescent="0.2">
      <c r="A94" s="414" t="str">
        <f>INDATA!A59</f>
        <v>HVC pellets</v>
      </c>
      <c r="B94" s="422">
        <f>INDATA!B59</f>
        <v>0.12</v>
      </c>
      <c r="C94" s="423">
        <f>INDATA!C59</f>
        <v>0.12</v>
      </c>
      <c r="D94" s="423">
        <f>INDATA!D59</f>
        <v>0</v>
      </c>
      <c r="E94" s="423">
        <f>INDATA!E59</f>
        <v>0</v>
      </c>
      <c r="F94" s="423">
        <f>INDATA!F59</f>
        <v>0</v>
      </c>
      <c r="G94" s="423">
        <f>INDATA!G59</f>
        <v>0</v>
      </c>
      <c r="H94" s="423">
        <f>INDATA!H59</f>
        <v>0</v>
      </c>
      <c r="I94" s="423">
        <f>INDATA!I59</f>
        <v>0</v>
      </c>
      <c r="J94" s="423">
        <f>INDATA!J59</f>
        <v>0</v>
      </c>
      <c r="K94" s="423">
        <f>INDATA!K59</f>
        <v>0</v>
      </c>
      <c r="L94" s="423">
        <f>INDATA!L59</f>
        <v>0</v>
      </c>
      <c r="M94" s="424">
        <f>INDATA!M59</f>
        <v>0.12</v>
      </c>
      <c r="N94" s="583"/>
      <c r="O94" s="27"/>
    </row>
    <row r="95" spans="1:16" x14ac:dyDescent="0.2">
      <c r="A95" s="414" t="str">
        <f>INDATA!A60</f>
        <v>KVV avfall</v>
      </c>
      <c r="B95" s="422">
        <f>INDATA!B60</f>
        <v>0</v>
      </c>
      <c r="C95" s="423">
        <f>INDATA!C60</f>
        <v>0</v>
      </c>
      <c r="D95" s="423">
        <f>INDATA!D60</f>
        <v>0</v>
      </c>
      <c r="E95" s="423">
        <f>INDATA!E60</f>
        <v>0</v>
      </c>
      <c r="F95" s="423">
        <f>INDATA!F60</f>
        <v>0.5</v>
      </c>
      <c r="G95" s="423">
        <f>INDATA!G60</f>
        <v>1</v>
      </c>
      <c r="H95" s="423">
        <f>INDATA!H60</f>
        <v>1</v>
      </c>
      <c r="I95" s="423">
        <f>INDATA!I60</f>
        <v>1</v>
      </c>
      <c r="J95" s="423">
        <f>INDATA!J60</f>
        <v>0.5</v>
      </c>
      <c r="K95" s="423">
        <f>INDATA!K60</f>
        <v>0</v>
      </c>
      <c r="L95" s="423">
        <f>INDATA!L60</f>
        <v>0</v>
      </c>
      <c r="M95" s="424">
        <f>INDATA!M60</f>
        <v>0</v>
      </c>
      <c r="N95" s="583"/>
      <c r="O95" s="27"/>
    </row>
    <row r="96" spans="1:16" x14ac:dyDescent="0.2">
      <c r="A96" s="414" t="str">
        <f>INDATA!A61</f>
        <v>KVV grot</v>
      </c>
      <c r="B96" s="422">
        <f>INDATA!B61</f>
        <v>0</v>
      </c>
      <c r="C96" s="423">
        <f>INDATA!C61</f>
        <v>0</v>
      </c>
      <c r="D96" s="423">
        <f>INDATA!D61</f>
        <v>0</v>
      </c>
      <c r="E96" s="423">
        <f>INDATA!E61</f>
        <v>0.4</v>
      </c>
      <c r="F96" s="423">
        <f>INDATA!F61</f>
        <v>0.5</v>
      </c>
      <c r="G96" s="423">
        <f>INDATA!G61</f>
        <v>0</v>
      </c>
      <c r="H96" s="423">
        <f>INDATA!H61</f>
        <v>0</v>
      </c>
      <c r="I96" s="423">
        <f>INDATA!I61</f>
        <v>0</v>
      </c>
      <c r="J96" s="423">
        <f>INDATA!J61</f>
        <v>0.5</v>
      </c>
      <c r="K96" s="423">
        <f>INDATA!K61</f>
        <v>0.4</v>
      </c>
      <c r="L96" s="423">
        <f>INDATA!L61</f>
        <v>0</v>
      </c>
      <c r="M96" s="424">
        <f>INDATA!M61</f>
        <v>0</v>
      </c>
      <c r="N96" s="583"/>
      <c r="O96" s="27"/>
    </row>
    <row r="97" spans="1:29" x14ac:dyDescent="0.2">
      <c r="A97" s="414" t="str">
        <f>INDATA!A62</f>
        <v>Värmepump COP3</v>
      </c>
      <c r="B97" s="422">
        <f>INDATA!B62</f>
        <v>0</v>
      </c>
      <c r="C97" s="423">
        <f>INDATA!C62</f>
        <v>0</v>
      </c>
      <c r="D97" s="423">
        <f>INDATA!D62</f>
        <v>0.4</v>
      </c>
      <c r="E97" s="423">
        <f>INDATA!E62</f>
        <v>0.6</v>
      </c>
      <c r="F97" s="423">
        <f>INDATA!F62</f>
        <v>0</v>
      </c>
      <c r="G97" s="423">
        <f>INDATA!G62</f>
        <v>0</v>
      </c>
      <c r="H97" s="423">
        <f>INDATA!H62</f>
        <v>0</v>
      </c>
      <c r="I97" s="423">
        <f>INDATA!I62</f>
        <v>0</v>
      </c>
      <c r="J97" s="423">
        <f>INDATA!J62</f>
        <v>0</v>
      </c>
      <c r="K97" s="423">
        <f>INDATA!K62</f>
        <v>0.6</v>
      </c>
      <c r="L97" s="423">
        <f>INDATA!L62</f>
        <v>0.4</v>
      </c>
      <c r="M97" s="424">
        <f>INDATA!M62</f>
        <v>0</v>
      </c>
      <c r="N97" s="583"/>
      <c r="O97" s="27"/>
    </row>
    <row r="98" spans="1:29" x14ac:dyDescent="0.2">
      <c r="A98" s="414" t="str">
        <f>INDATA!A63</f>
        <v>Spillvärme industri</v>
      </c>
      <c r="B98" s="422">
        <f>INDATA!B63</f>
        <v>0</v>
      </c>
      <c r="C98" s="423">
        <f>INDATA!C63</f>
        <v>0</v>
      </c>
      <c r="D98" s="423">
        <f>INDATA!D63</f>
        <v>0</v>
      </c>
      <c r="E98" s="423">
        <f>INDATA!E63</f>
        <v>0</v>
      </c>
      <c r="F98" s="423">
        <f>INDATA!F63</f>
        <v>0</v>
      </c>
      <c r="G98" s="423">
        <f>INDATA!G63</f>
        <v>0</v>
      </c>
      <c r="H98" s="423">
        <f>INDATA!H63</f>
        <v>0</v>
      </c>
      <c r="I98" s="423">
        <f>INDATA!I63</f>
        <v>0</v>
      </c>
      <c r="J98" s="423">
        <f>INDATA!J63</f>
        <v>0</v>
      </c>
      <c r="K98" s="423">
        <f>INDATA!K63</f>
        <v>0</v>
      </c>
      <c r="L98" s="423">
        <f>INDATA!L63</f>
        <v>0</v>
      </c>
      <c r="M98" s="424">
        <f>INDATA!M63</f>
        <v>0</v>
      </c>
      <c r="N98" s="583"/>
      <c r="O98" s="27"/>
    </row>
    <row r="99" spans="1:29" x14ac:dyDescent="0.2">
      <c r="A99" s="414" t="str">
        <f>INDATA!A64</f>
        <v>HVC Gas</v>
      </c>
      <c r="B99" s="422">
        <f>INDATA!B64</f>
        <v>0.12</v>
      </c>
      <c r="C99" s="423">
        <f>INDATA!C64</f>
        <v>0.12</v>
      </c>
      <c r="D99" s="423">
        <f>INDATA!D64</f>
        <v>0</v>
      </c>
      <c r="E99" s="423">
        <f>INDATA!E64</f>
        <v>0</v>
      </c>
      <c r="F99" s="423">
        <f>INDATA!F64</f>
        <v>0</v>
      </c>
      <c r="G99" s="423">
        <f>INDATA!G64</f>
        <v>0</v>
      </c>
      <c r="H99" s="423">
        <f>INDATA!H64</f>
        <v>0</v>
      </c>
      <c r="I99" s="423">
        <f>INDATA!I64</f>
        <v>0</v>
      </c>
      <c r="J99" s="423">
        <f>INDATA!J64</f>
        <v>0</v>
      </c>
      <c r="K99" s="423">
        <f>INDATA!K64</f>
        <v>0</v>
      </c>
      <c r="L99" s="423">
        <f>INDATA!L64</f>
        <v>0</v>
      </c>
      <c r="M99" s="424">
        <f>INDATA!M64</f>
        <v>0.12</v>
      </c>
      <c r="N99" s="583"/>
      <c r="O99" s="27"/>
    </row>
    <row r="100" spans="1:29" x14ac:dyDescent="0.2">
      <c r="A100" s="414" t="str">
        <f>INDATA!A65</f>
        <v>KVV Gas</v>
      </c>
      <c r="B100" s="422">
        <f>INDATA!B65</f>
        <v>0.76</v>
      </c>
      <c r="C100" s="423">
        <f>INDATA!C65</f>
        <v>0.76</v>
      </c>
      <c r="D100" s="423">
        <f>INDATA!D65</f>
        <v>0.6</v>
      </c>
      <c r="E100" s="423">
        <f>INDATA!E65</f>
        <v>0</v>
      </c>
      <c r="F100" s="423">
        <f>INDATA!F65</f>
        <v>0</v>
      </c>
      <c r="G100" s="423">
        <f>INDATA!G65</f>
        <v>0</v>
      </c>
      <c r="H100" s="423">
        <f>INDATA!H65</f>
        <v>0</v>
      </c>
      <c r="I100" s="423">
        <f>INDATA!I65</f>
        <v>0</v>
      </c>
      <c r="J100" s="423">
        <f>INDATA!J65</f>
        <v>0</v>
      </c>
      <c r="K100" s="423">
        <f>INDATA!K65</f>
        <v>0</v>
      </c>
      <c r="L100" s="423">
        <f>INDATA!L65</f>
        <v>0.6</v>
      </c>
      <c r="M100" s="424">
        <f>INDATA!M65</f>
        <v>0.76</v>
      </c>
      <c r="N100" s="583"/>
      <c r="O100" s="27"/>
    </row>
    <row r="101" spans="1:29" x14ac:dyDescent="0.2">
      <c r="A101" s="417" t="str">
        <f>INDATA!A66</f>
        <v>Valfri 3</v>
      </c>
      <c r="B101" s="425">
        <f>INDATA!B66</f>
        <v>0</v>
      </c>
      <c r="C101" s="426">
        <f>INDATA!C66</f>
        <v>0</v>
      </c>
      <c r="D101" s="426">
        <f>INDATA!D66</f>
        <v>0</v>
      </c>
      <c r="E101" s="426">
        <f>INDATA!E66</f>
        <v>0</v>
      </c>
      <c r="F101" s="426">
        <f>INDATA!F66</f>
        <v>0</v>
      </c>
      <c r="G101" s="426">
        <f>INDATA!G66</f>
        <v>0</v>
      </c>
      <c r="H101" s="426">
        <f>INDATA!H66</f>
        <v>0</v>
      </c>
      <c r="I101" s="426">
        <f>INDATA!I66</f>
        <v>0</v>
      </c>
      <c r="J101" s="426">
        <f>INDATA!J66</f>
        <v>0</v>
      </c>
      <c r="K101" s="426">
        <f>INDATA!K66</f>
        <v>0</v>
      </c>
      <c r="L101" s="426">
        <f>INDATA!L66</f>
        <v>0</v>
      </c>
      <c r="M101" s="427">
        <f>INDATA!M66</f>
        <v>0</v>
      </c>
      <c r="N101" s="583"/>
      <c r="O101" s="27"/>
    </row>
    <row r="102" spans="1:29" s="250" customFormat="1" ht="16" thickBot="1" x14ac:dyDescent="0.25">
      <c r="A102" s="428" t="s">
        <v>166</v>
      </c>
      <c r="B102" s="426">
        <f>SUM(B92:B101)</f>
        <v>1</v>
      </c>
      <c r="C102" s="426">
        <f t="shared" ref="C102:M102" si="7">SUM(C92:C101)</f>
        <v>1</v>
      </c>
      <c r="D102" s="426">
        <f t="shared" si="7"/>
        <v>1</v>
      </c>
      <c r="E102" s="426">
        <f t="shared" si="7"/>
        <v>1</v>
      </c>
      <c r="F102" s="426">
        <f t="shared" si="7"/>
        <v>1</v>
      </c>
      <c r="G102" s="426">
        <f t="shared" si="7"/>
        <v>1</v>
      </c>
      <c r="H102" s="426">
        <f t="shared" si="7"/>
        <v>1</v>
      </c>
      <c r="I102" s="426">
        <f t="shared" si="7"/>
        <v>1</v>
      </c>
      <c r="J102" s="426">
        <f t="shared" si="7"/>
        <v>1</v>
      </c>
      <c r="K102" s="426">
        <f t="shared" si="7"/>
        <v>1</v>
      </c>
      <c r="L102" s="426">
        <f t="shared" si="7"/>
        <v>1</v>
      </c>
      <c r="M102" s="427">
        <f t="shared" si="7"/>
        <v>1</v>
      </c>
      <c r="N102" s="583"/>
      <c r="O102" s="27"/>
    </row>
    <row r="103" spans="1:29" x14ac:dyDescent="0.2">
      <c r="A103" s="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583"/>
      <c r="O103" s="27"/>
      <c r="P103" s="713" t="s">
        <v>361</v>
      </c>
      <c r="Q103" s="714"/>
      <c r="R103" s="714"/>
      <c r="S103" s="714"/>
      <c r="T103" s="714"/>
      <c r="U103" s="714"/>
      <c r="V103" s="714"/>
      <c r="W103" s="714"/>
      <c r="X103" s="714"/>
      <c r="Y103" s="714"/>
      <c r="Z103" s="714"/>
      <c r="AA103" s="714"/>
      <c r="AB103" s="714"/>
      <c r="AC103" s="715"/>
    </row>
    <row r="104" spans="1:29" ht="15" customHeight="1" x14ac:dyDescent="0.2">
      <c r="A104" s="18" t="s">
        <v>387</v>
      </c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583"/>
      <c r="O104" s="27"/>
      <c r="P104" s="716"/>
      <c r="Q104" s="717"/>
      <c r="R104" s="717"/>
      <c r="S104" s="717"/>
      <c r="T104" s="717"/>
      <c r="U104" s="717"/>
      <c r="V104" s="717"/>
      <c r="W104" s="717"/>
      <c r="X104" s="717"/>
      <c r="Y104" s="717"/>
      <c r="Z104" s="717"/>
      <c r="AA104" s="717"/>
      <c r="AB104" s="717"/>
      <c r="AC104" s="718"/>
    </row>
    <row r="105" spans="1:29" ht="16" thickBot="1" x14ac:dyDescent="0.25">
      <c r="A105" s="412" t="s">
        <v>338</v>
      </c>
      <c r="B105" s="444"/>
      <c r="C105" s="444"/>
      <c r="D105" s="444"/>
      <c r="E105" s="444"/>
      <c r="F105" s="444"/>
      <c r="G105" s="444"/>
      <c r="H105" s="444"/>
      <c r="I105" s="444"/>
      <c r="J105" s="444"/>
      <c r="K105" s="444"/>
      <c r="L105" s="444"/>
      <c r="M105" s="444"/>
      <c r="N105" s="661"/>
      <c r="P105" s="719"/>
      <c r="Q105" s="720"/>
      <c r="R105" s="720"/>
      <c r="S105" s="720"/>
      <c r="T105" s="720"/>
      <c r="U105" s="720"/>
      <c r="V105" s="720"/>
      <c r="W105" s="720"/>
      <c r="X105" s="720"/>
      <c r="Y105" s="720"/>
      <c r="Z105" s="720"/>
      <c r="AA105" s="720"/>
      <c r="AB105" s="720"/>
      <c r="AC105" s="721"/>
    </row>
    <row r="106" spans="1:29" x14ac:dyDescent="0.2">
      <c r="A106" s="429" t="s">
        <v>339</v>
      </c>
      <c r="B106" s="565" t="s">
        <v>20</v>
      </c>
      <c r="C106" s="565" t="s">
        <v>21</v>
      </c>
      <c r="D106" s="565" t="s">
        <v>22</v>
      </c>
      <c r="E106" s="565" t="s">
        <v>23</v>
      </c>
      <c r="F106" s="565" t="s">
        <v>24</v>
      </c>
      <c r="G106" s="565" t="s">
        <v>25</v>
      </c>
      <c r="H106" s="565" t="s">
        <v>26</v>
      </c>
      <c r="I106" s="565" t="s">
        <v>27</v>
      </c>
      <c r="J106" s="565" t="s">
        <v>28</v>
      </c>
      <c r="K106" s="565" t="s">
        <v>29</v>
      </c>
      <c r="L106" s="565" t="s">
        <v>30</v>
      </c>
      <c r="M106" s="566" t="s">
        <v>31</v>
      </c>
      <c r="N106" s="430" t="s">
        <v>53</v>
      </c>
      <c r="P106" s="529"/>
      <c r="Q106" s="530"/>
      <c r="R106" s="530"/>
      <c r="S106" s="530"/>
      <c r="T106" s="530"/>
      <c r="U106" s="530"/>
      <c r="V106" s="530"/>
      <c r="W106" s="530"/>
      <c r="X106" s="530"/>
      <c r="Y106" s="530"/>
      <c r="Z106" s="530"/>
      <c r="AA106" s="530"/>
      <c r="AB106" s="530"/>
      <c r="AC106" s="531"/>
    </row>
    <row r="107" spans="1:29" x14ac:dyDescent="0.2">
      <c r="A107" s="420" t="str">
        <f t="shared" ref="A107:A116" si="8">P122</f>
        <v>HVC EO1</v>
      </c>
      <c r="B107" s="587">
        <f t="shared" ref="B107:B116" si="9">Q109-Q122</f>
        <v>0</v>
      </c>
      <c r="C107" s="587">
        <f t="shared" ref="C107:C116" si="10">R109-R122</f>
        <v>0</v>
      </c>
      <c r="D107" s="587">
        <f t="shared" ref="D107:D116" si="11">S109-S122</f>
        <v>0</v>
      </c>
      <c r="E107" s="587">
        <f t="shared" ref="E107:E116" si="12">T109-T122</f>
        <v>0</v>
      </c>
      <c r="F107" s="587">
        <f t="shared" ref="F107:F116" si="13">U109-U122</f>
        <v>0</v>
      </c>
      <c r="G107" s="587">
        <f t="shared" ref="G107:G116" si="14">V109-V122</f>
        <v>0</v>
      </c>
      <c r="H107" s="587">
        <f t="shared" ref="H107:H116" si="15">W109-W122</f>
        <v>0</v>
      </c>
      <c r="I107" s="587">
        <f t="shared" ref="I107:I116" si="16">X109-X122</f>
        <v>0</v>
      </c>
      <c r="J107" s="587">
        <f t="shared" ref="J107:J116" si="17">Y109-Y122</f>
        <v>0</v>
      </c>
      <c r="K107" s="587">
        <f t="shared" ref="K107:K116" si="18">Z109-Z122</f>
        <v>0</v>
      </c>
      <c r="L107" s="587">
        <f t="shared" ref="L107:L116" si="19">AA109-AA122</f>
        <v>0</v>
      </c>
      <c r="M107" s="588">
        <f t="shared" ref="M107:M116" si="20">AB109-AB122</f>
        <v>0</v>
      </c>
      <c r="N107" s="431">
        <f t="shared" ref="N107:N117" si="21">SUM(B107:M107)</f>
        <v>0</v>
      </c>
      <c r="P107" s="532" t="s">
        <v>340</v>
      </c>
      <c r="Q107" s="533"/>
      <c r="R107" s="533"/>
      <c r="S107" s="533"/>
      <c r="T107" s="533"/>
      <c r="U107" s="533"/>
      <c r="V107" s="533"/>
      <c r="W107" s="533"/>
      <c r="X107" s="533"/>
      <c r="Y107" s="533"/>
      <c r="Z107" s="533"/>
      <c r="AA107" s="533"/>
      <c r="AB107" s="533"/>
      <c r="AC107" s="534"/>
    </row>
    <row r="108" spans="1:29" x14ac:dyDescent="0.2">
      <c r="A108" s="420" t="str">
        <f t="shared" si="8"/>
        <v>HVC bioolja</v>
      </c>
      <c r="B108" s="587">
        <f t="shared" si="9"/>
        <v>0</v>
      </c>
      <c r="C108" s="587">
        <f t="shared" si="10"/>
        <v>0</v>
      </c>
      <c r="D108" s="587">
        <f t="shared" si="11"/>
        <v>0</v>
      </c>
      <c r="E108" s="587">
        <f t="shared" si="12"/>
        <v>0</v>
      </c>
      <c r="F108" s="587">
        <f t="shared" si="13"/>
        <v>0</v>
      </c>
      <c r="G108" s="587">
        <f t="shared" si="14"/>
        <v>0</v>
      </c>
      <c r="H108" s="587">
        <f t="shared" si="15"/>
        <v>0</v>
      </c>
      <c r="I108" s="587">
        <f t="shared" si="16"/>
        <v>0</v>
      </c>
      <c r="J108" s="587">
        <f t="shared" si="17"/>
        <v>0</v>
      </c>
      <c r="K108" s="587">
        <f t="shared" si="18"/>
        <v>0</v>
      </c>
      <c r="L108" s="587">
        <f t="shared" si="19"/>
        <v>0</v>
      </c>
      <c r="M108" s="588">
        <f t="shared" si="20"/>
        <v>0</v>
      </c>
      <c r="N108" s="431">
        <f t="shared" si="21"/>
        <v>0</v>
      </c>
      <c r="P108" s="535" t="s">
        <v>285</v>
      </c>
      <c r="Q108" s="445" t="s">
        <v>20</v>
      </c>
      <c r="R108" s="445" t="s">
        <v>21</v>
      </c>
      <c r="S108" s="445" t="s">
        <v>22</v>
      </c>
      <c r="T108" s="445" t="s">
        <v>23</v>
      </c>
      <c r="U108" s="445" t="s">
        <v>24</v>
      </c>
      <c r="V108" s="445" t="s">
        <v>25</v>
      </c>
      <c r="W108" s="445" t="s">
        <v>26</v>
      </c>
      <c r="X108" s="445" t="s">
        <v>27</v>
      </c>
      <c r="Y108" s="445" t="s">
        <v>28</v>
      </c>
      <c r="Z108" s="445" t="s">
        <v>29</v>
      </c>
      <c r="AA108" s="445" t="s">
        <v>30</v>
      </c>
      <c r="AB108" s="446" t="s">
        <v>31</v>
      </c>
      <c r="AC108" s="536" t="s">
        <v>53</v>
      </c>
    </row>
    <row r="109" spans="1:29" x14ac:dyDescent="0.2">
      <c r="A109" s="420" t="str">
        <f t="shared" si="8"/>
        <v>HVC pellets</v>
      </c>
      <c r="B109" s="587">
        <f t="shared" si="9"/>
        <v>-59.007637410601973</v>
      </c>
      <c r="C109" s="587">
        <f t="shared" si="10"/>
        <v>-55.139828790764142</v>
      </c>
      <c r="D109" s="587">
        <f t="shared" si="11"/>
        <v>0</v>
      </c>
      <c r="E109" s="587">
        <f t="shared" si="12"/>
        <v>0</v>
      </c>
      <c r="F109" s="587">
        <f t="shared" si="13"/>
        <v>0</v>
      </c>
      <c r="G109" s="587">
        <f t="shared" si="14"/>
        <v>0</v>
      </c>
      <c r="H109" s="587">
        <f t="shared" si="15"/>
        <v>0</v>
      </c>
      <c r="I109" s="587">
        <f t="shared" si="16"/>
        <v>0</v>
      </c>
      <c r="J109" s="587">
        <f t="shared" si="17"/>
        <v>0</v>
      </c>
      <c r="K109" s="587">
        <f t="shared" si="18"/>
        <v>0</v>
      </c>
      <c r="L109" s="587">
        <f t="shared" si="19"/>
        <v>0</v>
      </c>
      <c r="M109" s="588">
        <f t="shared" si="20"/>
        <v>-54.566917342799719</v>
      </c>
      <c r="N109" s="431">
        <f t="shared" si="21"/>
        <v>-168.71438354416583</v>
      </c>
      <c r="P109" s="537" t="str">
        <f t="shared" ref="P109:P118" si="22">A92</f>
        <v>HVC EO1</v>
      </c>
      <c r="Q109" s="447">
        <f t="shared" ref="Q109:Q118" si="23">B$87*B92</f>
        <v>0</v>
      </c>
      <c r="R109" s="448">
        <f t="shared" ref="R109:R118" si="24">C$87*C92</f>
        <v>0</v>
      </c>
      <c r="S109" s="448">
        <f t="shared" ref="S109:S118" si="25">D$87*D92</f>
        <v>0</v>
      </c>
      <c r="T109" s="448">
        <f t="shared" ref="T109:T118" si="26">E$87*E92</f>
        <v>0</v>
      </c>
      <c r="U109" s="448">
        <f t="shared" ref="U109:U118" si="27">F$87*F92</f>
        <v>0</v>
      </c>
      <c r="V109" s="448">
        <f t="shared" ref="V109:V118" si="28">G$87*G92</f>
        <v>0</v>
      </c>
      <c r="W109" s="448">
        <f t="shared" ref="W109:W118" si="29">H$87*H92</f>
        <v>0</v>
      </c>
      <c r="X109" s="448">
        <f t="shared" ref="X109:X118" si="30">I$87*I92</f>
        <v>0</v>
      </c>
      <c r="Y109" s="448">
        <f t="shared" ref="Y109:Y118" si="31">J$87*J92</f>
        <v>0</v>
      </c>
      <c r="Z109" s="448">
        <f t="shared" ref="Z109:Z118" si="32">K$87*K92</f>
        <v>0</v>
      </c>
      <c r="AA109" s="448">
        <f t="shared" ref="AA109:AA118" si="33">L$87*L92</f>
        <v>0</v>
      </c>
      <c r="AB109" s="449">
        <f t="shared" ref="AB109:AB118" si="34">M$87*M92</f>
        <v>0</v>
      </c>
      <c r="AC109" s="538">
        <f>SUM(Q109:AB109)</f>
        <v>0</v>
      </c>
    </row>
    <row r="110" spans="1:29" x14ac:dyDescent="0.2">
      <c r="A110" s="420" t="str">
        <f t="shared" si="8"/>
        <v>KVV avfall</v>
      </c>
      <c r="B110" s="587">
        <f t="shared" si="9"/>
        <v>0</v>
      </c>
      <c r="C110" s="587">
        <f t="shared" si="10"/>
        <v>0</v>
      </c>
      <c r="D110" s="587">
        <f t="shared" si="11"/>
        <v>0</v>
      </c>
      <c r="E110" s="587">
        <f t="shared" si="12"/>
        <v>0</v>
      </c>
      <c r="F110" s="587">
        <f t="shared" si="13"/>
        <v>511.21644549125085</v>
      </c>
      <c r="G110" s="587">
        <f t="shared" si="14"/>
        <v>1570.9524954314541</v>
      </c>
      <c r="H110" s="587">
        <f t="shared" si="15"/>
        <v>1533.6773567963733</v>
      </c>
      <c r="I110" s="587">
        <f t="shared" si="16"/>
        <v>1050.2064140778239</v>
      </c>
      <c r="J110" s="587">
        <f t="shared" si="17"/>
        <v>327.09524954314543</v>
      </c>
      <c r="K110" s="587">
        <f t="shared" si="18"/>
        <v>0</v>
      </c>
      <c r="L110" s="587">
        <f t="shared" si="19"/>
        <v>0</v>
      </c>
      <c r="M110" s="588">
        <f t="shared" si="20"/>
        <v>0</v>
      </c>
      <c r="N110" s="431">
        <f t="shared" si="21"/>
        <v>4993.147961340047</v>
      </c>
      <c r="P110" s="537" t="str">
        <f t="shared" si="22"/>
        <v>HVC bioolja</v>
      </c>
      <c r="Q110" s="450">
        <f t="shared" si="23"/>
        <v>0</v>
      </c>
      <c r="R110" s="451">
        <f t="shared" si="24"/>
        <v>0</v>
      </c>
      <c r="S110" s="451">
        <f t="shared" si="25"/>
        <v>0</v>
      </c>
      <c r="T110" s="451">
        <f t="shared" si="26"/>
        <v>0</v>
      </c>
      <c r="U110" s="451">
        <f t="shared" si="27"/>
        <v>0</v>
      </c>
      <c r="V110" s="451">
        <f t="shared" si="28"/>
        <v>0</v>
      </c>
      <c r="W110" s="451">
        <f t="shared" si="29"/>
        <v>0</v>
      </c>
      <c r="X110" s="451">
        <f t="shared" si="30"/>
        <v>0</v>
      </c>
      <c r="Y110" s="451">
        <f t="shared" si="31"/>
        <v>0</v>
      </c>
      <c r="Z110" s="451">
        <f t="shared" si="32"/>
        <v>0</v>
      </c>
      <c r="AA110" s="451">
        <f t="shared" si="33"/>
        <v>0</v>
      </c>
      <c r="AB110" s="452">
        <f t="shared" si="34"/>
        <v>0</v>
      </c>
      <c r="AC110" s="538">
        <f t="shared" ref="AC110:AC119" si="35">SUM(Q110:AB110)</f>
        <v>0</v>
      </c>
    </row>
    <row r="111" spans="1:29" x14ac:dyDescent="0.2">
      <c r="A111" s="420" t="str">
        <f t="shared" si="8"/>
        <v>KVV grot</v>
      </c>
      <c r="B111" s="587">
        <f t="shared" si="9"/>
        <v>0</v>
      </c>
      <c r="C111" s="587">
        <f t="shared" si="10"/>
        <v>0</v>
      </c>
      <c r="D111" s="587">
        <f t="shared" si="11"/>
        <v>0</v>
      </c>
      <c r="E111" s="587">
        <f t="shared" si="12"/>
        <v>-143.53898488115718</v>
      </c>
      <c r="F111" s="587">
        <f t="shared" si="13"/>
        <v>511.21644549125085</v>
      </c>
      <c r="G111" s="587">
        <f t="shared" si="14"/>
        <v>0</v>
      </c>
      <c r="H111" s="587">
        <f t="shared" si="15"/>
        <v>0</v>
      </c>
      <c r="I111" s="587">
        <f t="shared" si="16"/>
        <v>0</v>
      </c>
      <c r="J111" s="587">
        <f t="shared" si="17"/>
        <v>327.09524954314543</v>
      </c>
      <c r="K111" s="587">
        <f t="shared" si="18"/>
        <v>-142.92899838670112</v>
      </c>
      <c r="L111" s="587">
        <f t="shared" si="19"/>
        <v>0</v>
      </c>
      <c r="M111" s="588">
        <f t="shared" si="20"/>
        <v>0</v>
      </c>
      <c r="N111" s="431">
        <f t="shared" si="21"/>
        <v>551.84371176653804</v>
      </c>
      <c r="P111" s="537" t="str">
        <f t="shared" si="22"/>
        <v>HVC pellets</v>
      </c>
      <c r="Q111" s="450">
        <f t="shared" si="23"/>
        <v>29.370911943819134</v>
      </c>
      <c r="R111" s="451">
        <f t="shared" si="24"/>
        <v>27.685598636242972</v>
      </c>
      <c r="S111" s="451">
        <f t="shared" si="25"/>
        <v>0</v>
      </c>
      <c r="T111" s="451">
        <f t="shared" si="26"/>
        <v>0</v>
      </c>
      <c r="U111" s="451">
        <f t="shared" si="27"/>
        <v>0</v>
      </c>
      <c r="V111" s="451">
        <f t="shared" si="28"/>
        <v>0</v>
      </c>
      <c r="W111" s="451">
        <f t="shared" si="29"/>
        <v>0</v>
      </c>
      <c r="X111" s="451">
        <f t="shared" si="30"/>
        <v>0</v>
      </c>
      <c r="Y111" s="451">
        <f t="shared" si="31"/>
        <v>0</v>
      </c>
      <c r="Z111" s="451">
        <f t="shared" si="32"/>
        <v>0</v>
      </c>
      <c r="AA111" s="451">
        <f t="shared" si="33"/>
        <v>0</v>
      </c>
      <c r="AB111" s="452">
        <f t="shared" si="34"/>
        <v>28.281668831414898</v>
      </c>
      <c r="AC111" s="538">
        <f t="shared" si="35"/>
        <v>85.338179411477</v>
      </c>
    </row>
    <row r="112" spans="1:29" x14ac:dyDescent="0.2">
      <c r="A112" s="420" t="str">
        <f t="shared" si="8"/>
        <v>Värmepump COP3</v>
      </c>
      <c r="B112" s="587">
        <f t="shared" si="9"/>
        <v>0</v>
      </c>
      <c r="C112" s="587">
        <f t="shared" si="10"/>
        <v>0</v>
      </c>
      <c r="D112" s="587">
        <f t="shared" si="11"/>
        <v>-189.95404431422099</v>
      </c>
      <c r="E112" s="587">
        <f t="shared" si="12"/>
        <v>-215.30847732173572</v>
      </c>
      <c r="F112" s="587">
        <f t="shared" si="13"/>
        <v>0</v>
      </c>
      <c r="G112" s="587">
        <f t="shared" si="14"/>
        <v>0</v>
      </c>
      <c r="H112" s="587">
        <f t="shared" si="15"/>
        <v>0</v>
      </c>
      <c r="I112" s="587">
        <f t="shared" si="16"/>
        <v>0</v>
      </c>
      <c r="J112" s="587">
        <f t="shared" si="17"/>
        <v>0</v>
      </c>
      <c r="K112" s="587">
        <f t="shared" si="18"/>
        <v>-214.39349758005164</v>
      </c>
      <c r="L112" s="587">
        <f t="shared" si="19"/>
        <v>-180.42065755872278</v>
      </c>
      <c r="M112" s="588">
        <f t="shared" si="20"/>
        <v>0</v>
      </c>
      <c r="N112" s="431">
        <f t="shared" si="21"/>
        <v>-800.07667677473114</v>
      </c>
      <c r="P112" s="537" t="str">
        <f t="shared" si="22"/>
        <v>KVV avfall</v>
      </c>
      <c r="Q112" s="450">
        <f t="shared" si="23"/>
        <v>0</v>
      </c>
      <c r="R112" s="451">
        <f t="shared" si="24"/>
        <v>0</v>
      </c>
      <c r="S112" s="451">
        <f t="shared" si="25"/>
        <v>0</v>
      </c>
      <c r="T112" s="451">
        <f t="shared" si="26"/>
        <v>0</v>
      </c>
      <c r="U112" s="451">
        <f t="shared" si="27"/>
        <v>653.74989322979991</v>
      </c>
      <c r="V112" s="451">
        <f t="shared" si="28"/>
        <v>1741.9331804114488</v>
      </c>
      <c r="W112" s="451">
        <f t="shared" si="29"/>
        <v>1667.3661218016716</v>
      </c>
      <c r="X112" s="451">
        <f t="shared" si="30"/>
        <v>1212.9041023575858</v>
      </c>
      <c r="Y112" s="451">
        <f t="shared" si="31"/>
        <v>448.97478173733816</v>
      </c>
      <c r="Z112" s="451">
        <f t="shared" si="32"/>
        <v>0</v>
      </c>
      <c r="AA112" s="451">
        <f t="shared" si="33"/>
        <v>0</v>
      </c>
      <c r="AB112" s="452">
        <f t="shared" si="34"/>
        <v>0</v>
      </c>
      <c r="AC112" s="538">
        <f t="shared" si="35"/>
        <v>5724.9280795378436</v>
      </c>
    </row>
    <row r="113" spans="1:29" x14ac:dyDescent="0.2">
      <c r="A113" s="420" t="str">
        <f t="shared" si="8"/>
        <v>Spillvärme industri</v>
      </c>
      <c r="B113" s="587">
        <f t="shared" si="9"/>
        <v>0</v>
      </c>
      <c r="C113" s="587">
        <f t="shared" si="10"/>
        <v>0</v>
      </c>
      <c r="D113" s="587">
        <f t="shared" si="11"/>
        <v>0</v>
      </c>
      <c r="E113" s="587">
        <f t="shared" si="12"/>
        <v>0</v>
      </c>
      <c r="F113" s="587">
        <f t="shared" si="13"/>
        <v>0</v>
      </c>
      <c r="G113" s="587">
        <f t="shared" si="14"/>
        <v>0</v>
      </c>
      <c r="H113" s="587">
        <f t="shared" si="15"/>
        <v>0</v>
      </c>
      <c r="I113" s="587">
        <f t="shared" si="16"/>
        <v>0</v>
      </c>
      <c r="J113" s="587">
        <f t="shared" si="17"/>
        <v>0</v>
      </c>
      <c r="K113" s="587">
        <f t="shared" si="18"/>
        <v>0</v>
      </c>
      <c r="L113" s="587">
        <f t="shared" si="19"/>
        <v>0</v>
      </c>
      <c r="M113" s="588">
        <f t="shared" si="20"/>
        <v>0</v>
      </c>
      <c r="N113" s="431">
        <f t="shared" si="21"/>
        <v>0</v>
      </c>
      <c r="P113" s="537" t="str">
        <f t="shared" si="22"/>
        <v>KVV grot</v>
      </c>
      <c r="Q113" s="450">
        <f t="shared" si="23"/>
        <v>0</v>
      </c>
      <c r="R113" s="451">
        <f t="shared" si="24"/>
        <v>0</v>
      </c>
      <c r="S113" s="451">
        <f t="shared" si="25"/>
        <v>0</v>
      </c>
      <c r="T113" s="451">
        <f t="shared" si="26"/>
        <v>39.532179188219324</v>
      </c>
      <c r="U113" s="451">
        <f t="shared" si="27"/>
        <v>653.74989322979991</v>
      </c>
      <c r="V113" s="451">
        <f t="shared" si="28"/>
        <v>0</v>
      </c>
      <c r="W113" s="451">
        <f t="shared" si="29"/>
        <v>0</v>
      </c>
      <c r="X113" s="451">
        <f t="shared" si="30"/>
        <v>0</v>
      </c>
      <c r="Y113" s="451">
        <f t="shared" si="31"/>
        <v>448.97478173733816</v>
      </c>
      <c r="Z113" s="451">
        <f t="shared" si="32"/>
        <v>27.476289660187998</v>
      </c>
      <c r="AA113" s="451">
        <f t="shared" si="33"/>
        <v>0</v>
      </c>
      <c r="AB113" s="452">
        <f t="shared" si="34"/>
        <v>0</v>
      </c>
      <c r="AC113" s="538">
        <f t="shared" si="35"/>
        <v>1169.7331438155454</v>
      </c>
    </row>
    <row r="114" spans="1:29" x14ac:dyDescent="0.2">
      <c r="A114" s="420" t="str">
        <f t="shared" si="8"/>
        <v>HVC Gas</v>
      </c>
      <c r="B114" s="587">
        <f t="shared" si="9"/>
        <v>-59.007637410601973</v>
      </c>
      <c r="C114" s="587">
        <f t="shared" si="10"/>
        <v>-55.139828790764142</v>
      </c>
      <c r="D114" s="587">
        <f t="shared" si="11"/>
        <v>0</v>
      </c>
      <c r="E114" s="587">
        <f t="shared" si="12"/>
        <v>0</v>
      </c>
      <c r="F114" s="587">
        <f t="shared" si="13"/>
        <v>0</v>
      </c>
      <c r="G114" s="587">
        <f t="shared" si="14"/>
        <v>0</v>
      </c>
      <c r="H114" s="587">
        <f t="shared" si="15"/>
        <v>0</v>
      </c>
      <c r="I114" s="587">
        <f t="shared" si="16"/>
        <v>0</v>
      </c>
      <c r="J114" s="587">
        <f t="shared" si="17"/>
        <v>0</v>
      </c>
      <c r="K114" s="587">
        <f t="shared" si="18"/>
        <v>0</v>
      </c>
      <c r="L114" s="587">
        <f t="shared" si="19"/>
        <v>0</v>
      </c>
      <c r="M114" s="588">
        <f t="shared" si="20"/>
        <v>-54.566917342799719</v>
      </c>
      <c r="N114" s="431">
        <f t="shared" si="21"/>
        <v>-168.71438354416583</v>
      </c>
      <c r="P114" s="537" t="str">
        <f t="shared" si="22"/>
        <v>Värmepump COP3</v>
      </c>
      <c r="Q114" s="450">
        <f t="shared" si="23"/>
        <v>0</v>
      </c>
      <c r="R114" s="451">
        <f t="shared" si="24"/>
        <v>0</v>
      </c>
      <c r="S114" s="451">
        <f t="shared" si="25"/>
        <v>67.16681068935462</v>
      </c>
      <c r="T114" s="451">
        <f t="shared" si="26"/>
        <v>59.298268782328982</v>
      </c>
      <c r="U114" s="451">
        <f t="shared" si="27"/>
        <v>0</v>
      </c>
      <c r="V114" s="451">
        <f t="shared" si="28"/>
        <v>0</v>
      </c>
      <c r="W114" s="451">
        <f t="shared" si="29"/>
        <v>0</v>
      </c>
      <c r="X114" s="451">
        <f t="shared" si="30"/>
        <v>0</v>
      </c>
      <c r="Y114" s="451">
        <f t="shared" si="31"/>
        <v>0</v>
      </c>
      <c r="Z114" s="451">
        <f t="shared" si="32"/>
        <v>41.214434490281995</v>
      </c>
      <c r="AA114" s="451">
        <f t="shared" si="33"/>
        <v>43.662919550411075</v>
      </c>
      <c r="AB114" s="452">
        <f t="shared" si="34"/>
        <v>0</v>
      </c>
      <c r="AC114" s="538">
        <f t="shared" si="35"/>
        <v>211.34243351237666</v>
      </c>
    </row>
    <row r="115" spans="1:29" x14ac:dyDescent="0.2">
      <c r="A115" s="420" t="str">
        <f t="shared" si="8"/>
        <v>KVV Gas</v>
      </c>
      <c r="B115" s="587">
        <f t="shared" si="9"/>
        <v>-373.71503693381254</v>
      </c>
      <c r="C115" s="587">
        <f t="shared" si="10"/>
        <v>-349.21891567483954</v>
      </c>
      <c r="D115" s="587">
        <f t="shared" si="11"/>
        <v>-284.93106647133146</v>
      </c>
      <c r="E115" s="587">
        <f t="shared" si="12"/>
        <v>0</v>
      </c>
      <c r="F115" s="587">
        <f t="shared" si="13"/>
        <v>0</v>
      </c>
      <c r="G115" s="587">
        <f t="shared" si="14"/>
        <v>0</v>
      </c>
      <c r="H115" s="587">
        <f t="shared" si="15"/>
        <v>0</v>
      </c>
      <c r="I115" s="587">
        <f t="shared" si="16"/>
        <v>0</v>
      </c>
      <c r="J115" s="587">
        <f t="shared" si="17"/>
        <v>0</v>
      </c>
      <c r="K115" s="587">
        <f t="shared" si="18"/>
        <v>0</v>
      </c>
      <c r="L115" s="587">
        <f t="shared" si="19"/>
        <v>-270.63098633808414</v>
      </c>
      <c r="M115" s="588">
        <f t="shared" si="20"/>
        <v>-345.59047650439817</v>
      </c>
      <c r="N115" s="431">
        <f t="shared" si="21"/>
        <v>-1624.0864819224657</v>
      </c>
      <c r="P115" s="537" t="str">
        <f t="shared" si="22"/>
        <v>Spillvärme industri</v>
      </c>
      <c r="Q115" s="450">
        <f t="shared" si="23"/>
        <v>0</v>
      </c>
      <c r="R115" s="451">
        <f t="shared" si="24"/>
        <v>0</v>
      </c>
      <c r="S115" s="451">
        <f t="shared" si="25"/>
        <v>0</v>
      </c>
      <c r="T115" s="451">
        <f t="shared" si="26"/>
        <v>0</v>
      </c>
      <c r="U115" s="451">
        <f t="shared" si="27"/>
        <v>0</v>
      </c>
      <c r="V115" s="451">
        <f t="shared" si="28"/>
        <v>0</v>
      </c>
      <c r="W115" s="451">
        <f t="shared" si="29"/>
        <v>0</v>
      </c>
      <c r="X115" s="451">
        <f t="shared" si="30"/>
        <v>0</v>
      </c>
      <c r="Y115" s="451">
        <f t="shared" si="31"/>
        <v>0</v>
      </c>
      <c r="Z115" s="451">
        <f t="shared" si="32"/>
        <v>0</v>
      </c>
      <c r="AA115" s="451">
        <f t="shared" si="33"/>
        <v>0</v>
      </c>
      <c r="AB115" s="452">
        <f t="shared" si="34"/>
        <v>0</v>
      </c>
      <c r="AC115" s="538">
        <f t="shared" si="35"/>
        <v>0</v>
      </c>
    </row>
    <row r="116" spans="1:29" s="296" customFormat="1" x14ac:dyDescent="0.2">
      <c r="A116" s="421" t="str">
        <f t="shared" si="8"/>
        <v>Valfri 3</v>
      </c>
      <c r="B116" s="589">
        <f t="shared" si="9"/>
        <v>0</v>
      </c>
      <c r="C116" s="589">
        <f t="shared" si="10"/>
        <v>0</v>
      </c>
      <c r="D116" s="589">
        <f t="shared" si="11"/>
        <v>0</v>
      </c>
      <c r="E116" s="589">
        <f t="shared" si="12"/>
        <v>0</v>
      </c>
      <c r="F116" s="589">
        <f t="shared" si="13"/>
        <v>0</v>
      </c>
      <c r="G116" s="589">
        <f t="shared" si="14"/>
        <v>0</v>
      </c>
      <c r="H116" s="589">
        <f t="shared" si="15"/>
        <v>0</v>
      </c>
      <c r="I116" s="589">
        <f t="shared" si="16"/>
        <v>0</v>
      </c>
      <c r="J116" s="589">
        <f t="shared" si="17"/>
        <v>0</v>
      </c>
      <c r="K116" s="589">
        <f t="shared" si="18"/>
        <v>0</v>
      </c>
      <c r="L116" s="589">
        <f t="shared" si="19"/>
        <v>0</v>
      </c>
      <c r="M116" s="590">
        <f t="shared" si="20"/>
        <v>0</v>
      </c>
      <c r="N116" s="431">
        <f t="shared" si="21"/>
        <v>0</v>
      </c>
      <c r="P116" s="537" t="str">
        <f t="shared" si="22"/>
        <v>HVC Gas</v>
      </c>
      <c r="Q116" s="450">
        <f t="shared" si="23"/>
        <v>29.370911943819134</v>
      </c>
      <c r="R116" s="451">
        <f t="shared" si="24"/>
        <v>27.685598636242972</v>
      </c>
      <c r="S116" s="451">
        <f t="shared" si="25"/>
        <v>0</v>
      </c>
      <c r="T116" s="451">
        <f t="shared" si="26"/>
        <v>0</v>
      </c>
      <c r="U116" s="451">
        <f t="shared" si="27"/>
        <v>0</v>
      </c>
      <c r="V116" s="451">
        <f t="shared" si="28"/>
        <v>0</v>
      </c>
      <c r="W116" s="451">
        <f t="shared" si="29"/>
        <v>0</v>
      </c>
      <c r="X116" s="451">
        <f t="shared" si="30"/>
        <v>0</v>
      </c>
      <c r="Y116" s="451">
        <f t="shared" si="31"/>
        <v>0</v>
      </c>
      <c r="Z116" s="451">
        <f t="shared" si="32"/>
        <v>0</v>
      </c>
      <c r="AA116" s="451">
        <f t="shared" si="33"/>
        <v>0</v>
      </c>
      <c r="AB116" s="452">
        <f t="shared" si="34"/>
        <v>28.281668831414898</v>
      </c>
      <c r="AC116" s="538">
        <f t="shared" si="35"/>
        <v>85.338179411477</v>
      </c>
    </row>
    <row r="117" spans="1:29" x14ac:dyDescent="0.2">
      <c r="A117" s="428" t="s">
        <v>336</v>
      </c>
      <c r="B117" s="432">
        <f t="shared" ref="B117:M117" si="36">SUM(B107:B116)</f>
        <v>-491.73031175501649</v>
      </c>
      <c r="C117" s="433">
        <f t="shared" si="36"/>
        <v>-459.49857325636782</v>
      </c>
      <c r="D117" s="433">
        <f t="shared" si="36"/>
        <v>-474.88511078555246</v>
      </c>
      <c r="E117" s="433">
        <f t="shared" si="36"/>
        <v>-358.84746220289287</v>
      </c>
      <c r="F117" s="433">
        <f t="shared" si="36"/>
        <v>1022.4328909825017</v>
      </c>
      <c r="G117" s="433">
        <f t="shared" si="36"/>
        <v>1570.9524954314541</v>
      </c>
      <c r="H117" s="433">
        <f t="shared" si="36"/>
        <v>1533.6773567963733</v>
      </c>
      <c r="I117" s="433">
        <f t="shared" si="36"/>
        <v>1050.2064140778239</v>
      </c>
      <c r="J117" s="433">
        <f t="shared" si="36"/>
        <v>654.19049908629086</v>
      </c>
      <c r="K117" s="433">
        <f t="shared" si="36"/>
        <v>-357.32249596675274</v>
      </c>
      <c r="L117" s="433">
        <f t="shared" si="36"/>
        <v>-451.05164389680692</v>
      </c>
      <c r="M117" s="434">
        <f t="shared" si="36"/>
        <v>-454.72431118999759</v>
      </c>
      <c r="N117" s="430">
        <f t="shared" si="21"/>
        <v>2783.399747321057</v>
      </c>
      <c r="P117" s="537" t="str">
        <f t="shared" si="22"/>
        <v>KVV Gas</v>
      </c>
      <c r="Q117" s="450">
        <f t="shared" si="23"/>
        <v>186.01577564418784</v>
      </c>
      <c r="R117" s="451">
        <f t="shared" si="24"/>
        <v>175.3421246962055</v>
      </c>
      <c r="S117" s="451">
        <f t="shared" si="25"/>
        <v>100.75021603403194</v>
      </c>
      <c r="T117" s="451">
        <f t="shared" si="26"/>
        <v>0</v>
      </c>
      <c r="U117" s="451">
        <f t="shared" si="27"/>
        <v>0</v>
      </c>
      <c r="V117" s="451">
        <f t="shared" si="28"/>
        <v>0</v>
      </c>
      <c r="W117" s="451">
        <f t="shared" si="29"/>
        <v>0</v>
      </c>
      <c r="X117" s="451">
        <f t="shared" si="30"/>
        <v>0</v>
      </c>
      <c r="Y117" s="451">
        <f t="shared" si="31"/>
        <v>0</v>
      </c>
      <c r="Z117" s="451">
        <f t="shared" si="32"/>
        <v>0</v>
      </c>
      <c r="AA117" s="451">
        <f t="shared" si="33"/>
        <v>65.494379325616606</v>
      </c>
      <c r="AB117" s="452">
        <f t="shared" si="34"/>
        <v>179.11723593229436</v>
      </c>
      <c r="AC117" s="538">
        <f t="shared" si="35"/>
        <v>706.71973163233633</v>
      </c>
    </row>
    <row r="118" spans="1:29" x14ac:dyDescent="0.2">
      <c r="A118" s="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583"/>
      <c r="P118" s="539" t="str">
        <f t="shared" si="22"/>
        <v>Valfri 3</v>
      </c>
      <c r="Q118" s="453">
        <f t="shared" si="23"/>
        <v>0</v>
      </c>
      <c r="R118" s="454">
        <f t="shared" si="24"/>
        <v>0</v>
      </c>
      <c r="S118" s="454">
        <f t="shared" si="25"/>
        <v>0</v>
      </c>
      <c r="T118" s="454">
        <f t="shared" si="26"/>
        <v>0</v>
      </c>
      <c r="U118" s="454">
        <f t="shared" si="27"/>
        <v>0</v>
      </c>
      <c r="V118" s="454">
        <f t="shared" si="28"/>
        <v>0</v>
      </c>
      <c r="W118" s="454">
        <f t="shared" si="29"/>
        <v>0</v>
      </c>
      <c r="X118" s="454">
        <f t="shared" si="30"/>
        <v>0</v>
      </c>
      <c r="Y118" s="454">
        <f t="shared" si="31"/>
        <v>0</v>
      </c>
      <c r="Z118" s="454">
        <f t="shared" si="32"/>
        <v>0</v>
      </c>
      <c r="AA118" s="454">
        <f t="shared" si="33"/>
        <v>0</v>
      </c>
      <c r="AB118" s="455">
        <f t="shared" si="34"/>
        <v>0</v>
      </c>
      <c r="AC118" s="538">
        <f t="shared" si="35"/>
        <v>0</v>
      </c>
    </row>
    <row r="119" spans="1:29" x14ac:dyDescent="0.2">
      <c r="A119" s="412" t="s">
        <v>390</v>
      </c>
      <c r="B119" s="564" t="s">
        <v>20</v>
      </c>
      <c r="C119" s="565" t="s">
        <v>21</v>
      </c>
      <c r="D119" s="565" t="s">
        <v>22</v>
      </c>
      <c r="E119" s="565" t="s">
        <v>23</v>
      </c>
      <c r="F119" s="565" t="s">
        <v>24</v>
      </c>
      <c r="G119" s="565" t="s">
        <v>25</v>
      </c>
      <c r="H119" s="565" t="s">
        <v>26</v>
      </c>
      <c r="I119" s="565" t="s">
        <v>27</v>
      </c>
      <c r="J119" s="565" t="s">
        <v>28</v>
      </c>
      <c r="K119" s="565" t="s">
        <v>29</v>
      </c>
      <c r="L119" s="565" t="s">
        <v>30</v>
      </c>
      <c r="M119" s="566" t="s">
        <v>31</v>
      </c>
      <c r="N119" s="662" t="s">
        <v>53</v>
      </c>
      <c r="P119" s="540" t="s">
        <v>335</v>
      </c>
      <c r="Q119" s="456">
        <f>SUM(Q109:Q118)</f>
        <v>244.75759953182612</v>
      </c>
      <c r="R119" s="457">
        <f t="shared" ref="R119:AB119" si="37">SUM(R109:R118)</f>
        <v>230.71332196869145</v>
      </c>
      <c r="S119" s="457">
        <f t="shared" si="37"/>
        <v>167.91702672338656</v>
      </c>
      <c r="T119" s="457">
        <f t="shared" si="37"/>
        <v>98.830447970548306</v>
      </c>
      <c r="U119" s="457">
        <f t="shared" si="37"/>
        <v>1307.4997864595998</v>
      </c>
      <c r="V119" s="457">
        <f t="shared" si="37"/>
        <v>1741.9331804114488</v>
      </c>
      <c r="W119" s="457">
        <f t="shared" si="37"/>
        <v>1667.3661218016716</v>
      </c>
      <c r="X119" s="457">
        <f t="shared" si="37"/>
        <v>1212.9041023575858</v>
      </c>
      <c r="Y119" s="457">
        <f t="shared" si="37"/>
        <v>897.94956347467632</v>
      </c>
      <c r="Z119" s="457">
        <f t="shared" si="37"/>
        <v>68.69072415046999</v>
      </c>
      <c r="AA119" s="457">
        <f t="shared" si="37"/>
        <v>109.15729887602768</v>
      </c>
      <c r="AB119" s="458">
        <f t="shared" si="37"/>
        <v>235.68057359512414</v>
      </c>
      <c r="AC119" s="536">
        <f t="shared" si="35"/>
        <v>7983.3997473210557</v>
      </c>
    </row>
    <row r="120" spans="1:29" x14ac:dyDescent="0.2">
      <c r="A120" s="435" t="s">
        <v>389</v>
      </c>
      <c r="B120" s="587">
        <f>'INTERNA BERÄKNINGAR'!B38</f>
        <v>0</v>
      </c>
      <c r="C120" s="587">
        <f>'INTERNA BERÄKNINGAR'!C38</f>
        <v>0</v>
      </c>
      <c r="D120" s="587">
        <f>'INTERNA BERÄKNINGAR'!D38</f>
        <v>0</v>
      </c>
      <c r="E120" s="587">
        <f>'INTERNA BERÄKNINGAR'!E38</f>
        <v>0</v>
      </c>
      <c r="F120" s="587">
        <f>'INTERNA BERÄKNINGAR'!F38</f>
        <v>2889.2066544838772</v>
      </c>
      <c r="G120" s="587">
        <f>'INTERNA BERÄKNINGAR'!G38</f>
        <v>2491.0055454032308</v>
      </c>
      <c r="H120" s="587">
        <f>'INTERNA BERÄKNINGAR'!H38</f>
        <v>2491.0055454032308</v>
      </c>
      <c r="I120" s="587">
        <f>'INTERNA BERÄKNINGAR'!I38</f>
        <v>1992.8044363225849</v>
      </c>
      <c r="J120" s="587">
        <f>'INTERNA BERÄKNINGAR'!J38</f>
        <v>1992.8044363225849</v>
      </c>
      <c r="K120" s="587">
        <f>'INTERNA BERÄKNINGAR'!K38</f>
        <v>0</v>
      </c>
      <c r="L120" s="587">
        <f>'INTERNA BERÄKNINGAR'!L38</f>
        <v>0</v>
      </c>
      <c r="M120" s="588">
        <f>'INTERNA BERÄKNINGAR'!M38</f>
        <v>0</v>
      </c>
      <c r="N120" s="662">
        <f>'INTERNA BERÄKNINGAR'!N38</f>
        <v>0</v>
      </c>
      <c r="P120" s="541"/>
      <c r="Q120" s="459"/>
      <c r="R120" s="459"/>
      <c r="S120" s="459"/>
      <c r="T120" s="459"/>
      <c r="U120" s="459"/>
      <c r="V120" s="459"/>
      <c r="W120" s="459"/>
      <c r="X120" s="459"/>
      <c r="Y120" s="459"/>
      <c r="Z120" s="459"/>
      <c r="AA120" s="459"/>
      <c r="AB120" s="459"/>
      <c r="AC120" s="542"/>
    </row>
    <row r="121" spans="1:29" x14ac:dyDescent="0.2">
      <c r="A121" s="417" t="s">
        <v>388</v>
      </c>
      <c r="B121" s="589">
        <f>'INTERNA BERÄKNINGAR'!B39</f>
        <v>1868.2541590524233</v>
      </c>
      <c r="C121" s="589">
        <f>'INTERNA BERÄKNINGAR'!C39</f>
        <v>1556.8784658770194</v>
      </c>
      <c r="D121" s="589">
        <f>'INTERNA BERÄKNINGAR'!D39</f>
        <v>934.12707952621167</v>
      </c>
      <c r="E121" s="589">
        <f>'INTERNA BERÄKNINGAR'!E39</f>
        <v>622.75138635080771</v>
      </c>
      <c r="F121" s="589">
        <f>'INTERNA BERÄKNINGAR'!F39</f>
        <v>0</v>
      </c>
      <c r="G121" s="589">
        <f>'INTERNA BERÄKNINGAR'!G39</f>
        <v>0</v>
      </c>
      <c r="H121" s="589">
        <f>'INTERNA BERÄKNINGAR'!H39</f>
        <v>0</v>
      </c>
      <c r="I121" s="589">
        <f>'INTERNA BERÄKNINGAR'!I39</f>
        <v>0</v>
      </c>
      <c r="J121" s="589">
        <f>'INTERNA BERÄKNINGAR'!J39</f>
        <v>0</v>
      </c>
      <c r="K121" s="589">
        <f>'INTERNA BERÄKNINGAR'!K39</f>
        <v>934.12707952621167</v>
      </c>
      <c r="L121" s="589">
        <f>'INTERNA BERÄKNINGAR'!L39</f>
        <v>1245.5027727016154</v>
      </c>
      <c r="M121" s="590">
        <f>'INTERNA BERÄKNINGAR'!M39</f>
        <v>1868.2541590524233</v>
      </c>
      <c r="N121" s="660">
        <f>'INTERNA BERÄKNINGAR'!N39</f>
        <v>0</v>
      </c>
      <c r="P121" s="535" t="s">
        <v>286</v>
      </c>
      <c r="Q121" s="445" t="s">
        <v>20</v>
      </c>
      <c r="R121" s="445" t="s">
        <v>21</v>
      </c>
      <c r="S121" s="445" t="s">
        <v>22</v>
      </c>
      <c r="T121" s="445" t="s">
        <v>23</v>
      </c>
      <c r="U121" s="445" t="s">
        <v>24</v>
      </c>
      <c r="V121" s="445" t="s">
        <v>25</v>
      </c>
      <c r="W121" s="445" t="s">
        <v>26</v>
      </c>
      <c r="X121" s="445" t="s">
        <v>27</v>
      </c>
      <c r="Y121" s="445" t="s">
        <v>28</v>
      </c>
      <c r="Z121" s="445" t="s">
        <v>29</v>
      </c>
      <c r="AA121" s="445" t="s">
        <v>30</v>
      </c>
      <c r="AB121" s="446" t="s">
        <v>31</v>
      </c>
      <c r="AC121" s="536" t="s">
        <v>53</v>
      </c>
    </row>
    <row r="122" spans="1:29" x14ac:dyDescent="0.2">
      <c r="N122" s="26"/>
      <c r="P122" s="537" t="str">
        <f t="shared" ref="P122:P131" si="38">P109</f>
        <v>HVC EO1</v>
      </c>
      <c r="Q122" s="447">
        <f t="shared" ref="Q122:Q131" si="39">B$88*B92</f>
        <v>0</v>
      </c>
      <c r="R122" s="448">
        <f t="shared" ref="R122:R131" si="40">C$88*C92</f>
        <v>0</v>
      </c>
      <c r="S122" s="448">
        <f t="shared" ref="S122:S131" si="41">D$88*D92</f>
        <v>0</v>
      </c>
      <c r="T122" s="448">
        <f t="shared" ref="T122:T131" si="42">E$88*E92</f>
        <v>0</v>
      </c>
      <c r="U122" s="448">
        <f t="shared" ref="U122:U131" si="43">F$88*F92</f>
        <v>0</v>
      </c>
      <c r="V122" s="448">
        <f t="shared" ref="V122:V131" si="44">G$88*G92</f>
        <v>0</v>
      </c>
      <c r="W122" s="448">
        <f t="shared" ref="W122:W131" si="45">H$88*H92</f>
        <v>0</v>
      </c>
      <c r="X122" s="448">
        <f t="shared" ref="X122:X131" si="46">I$88*I92</f>
        <v>0</v>
      </c>
      <c r="Y122" s="448">
        <f t="shared" ref="Y122:Y131" si="47">J$88*J92</f>
        <v>0</v>
      </c>
      <c r="Z122" s="448">
        <f t="shared" ref="Z122:Z131" si="48">K$88*K92</f>
        <v>0</v>
      </c>
      <c r="AA122" s="448">
        <f t="shared" ref="AA122:AA131" si="49">L$88*L92</f>
        <v>0</v>
      </c>
      <c r="AB122" s="449">
        <f t="shared" ref="AB122:AB131" si="50">M$88*M92</f>
        <v>0</v>
      </c>
      <c r="AC122" s="538">
        <f>SUM(Q122:AB122)</f>
        <v>0</v>
      </c>
    </row>
    <row r="123" spans="1:29" x14ac:dyDescent="0.2">
      <c r="N123" s="26"/>
      <c r="P123" s="537" t="str">
        <f t="shared" si="38"/>
        <v>HVC bioolja</v>
      </c>
      <c r="Q123" s="450">
        <f t="shared" si="39"/>
        <v>0</v>
      </c>
      <c r="R123" s="451">
        <f t="shared" si="40"/>
        <v>0</v>
      </c>
      <c r="S123" s="451">
        <f t="shared" si="41"/>
        <v>0</v>
      </c>
      <c r="T123" s="451">
        <f t="shared" si="42"/>
        <v>0</v>
      </c>
      <c r="U123" s="451">
        <f t="shared" si="43"/>
        <v>0</v>
      </c>
      <c r="V123" s="451">
        <f t="shared" si="44"/>
        <v>0</v>
      </c>
      <c r="W123" s="451">
        <f t="shared" si="45"/>
        <v>0</v>
      </c>
      <c r="X123" s="451">
        <f t="shared" si="46"/>
        <v>0</v>
      </c>
      <c r="Y123" s="451">
        <f t="shared" si="47"/>
        <v>0</v>
      </c>
      <c r="Z123" s="451">
        <f t="shared" si="48"/>
        <v>0</v>
      </c>
      <c r="AA123" s="451">
        <f t="shared" si="49"/>
        <v>0</v>
      </c>
      <c r="AB123" s="452">
        <f t="shared" si="50"/>
        <v>0</v>
      </c>
      <c r="AC123" s="538">
        <f t="shared" ref="AC123:AC132" si="51">SUM(Q123:AB123)</f>
        <v>0</v>
      </c>
    </row>
    <row r="124" spans="1:29" x14ac:dyDescent="0.2">
      <c r="A124" s="436" t="s">
        <v>331</v>
      </c>
      <c r="B124" s="437"/>
      <c r="C124" s="437"/>
      <c r="D124" s="437"/>
      <c r="E124" s="437"/>
      <c r="F124" s="437"/>
      <c r="G124" s="437"/>
      <c r="H124" s="437"/>
      <c r="I124" s="437"/>
      <c r="J124" s="437"/>
      <c r="K124" s="437"/>
      <c r="L124" s="437"/>
      <c r="M124" s="437"/>
      <c r="N124" s="663"/>
      <c r="P124" s="537" t="str">
        <f t="shared" si="38"/>
        <v>HVC pellets</v>
      </c>
      <c r="Q124" s="450">
        <f t="shared" si="39"/>
        <v>88.378549354421111</v>
      </c>
      <c r="R124" s="451">
        <f t="shared" si="40"/>
        <v>82.825427427007114</v>
      </c>
      <c r="S124" s="451">
        <f t="shared" si="41"/>
        <v>0</v>
      </c>
      <c r="T124" s="451">
        <f t="shared" si="42"/>
        <v>0</v>
      </c>
      <c r="U124" s="451">
        <f t="shared" si="43"/>
        <v>0</v>
      </c>
      <c r="V124" s="451">
        <f t="shared" si="44"/>
        <v>0</v>
      </c>
      <c r="W124" s="451">
        <f t="shared" si="45"/>
        <v>0</v>
      </c>
      <c r="X124" s="451">
        <f t="shared" si="46"/>
        <v>0</v>
      </c>
      <c r="Y124" s="451">
        <f t="shared" si="47"/>
        <v>0</v>
      </c>
      <c r="Z124" s="451">
        <f t="shared" si="48"/>
        <v>0</v>
      </c>
      <c r="AA124" s="451">
        <f t="shared" si="49"/>
        <v>0</v>
      </c>
      <c r="AB124" s="452">
        <f t="shared" si="50"/>
        <v>82.848586174214617</v>
      </c>
      <c r="AC124" s="538">
        <f t="shared" si="51"/>
        <v>254.05256295564283</v>
      </c>
    </row>
    <row r="125" spans="1:29" x14ac:dyDescent="0.2">
      <c r="A125" s="134" t="s">
        <v>372</v>
      </c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664"/>
      <c r="P125" s="537" t="str">
        <f t="shared" si="38"/>
        <v>KVV avfall</v>
      </c>
      <c r="Q125" s="450">
        <f t="shared" si="39"/>
        <v>0</v>
      </c>
      <c r="R125" s="451">
        <f t="shared" si="40"/>
        <v>0</v>
      </c>
      <c r="S125" s="451">
        <f t="shared" si="41"/>
        <v>0</v>
      </c>
      <c r="T125" s="451">
        <f t="shared" si="42"/>
        <v>0</v>
      </c>
      <c r="U125" s="451">
        <f t="shared" si="43"/>
        <v>142.53344773854903</v>
      </c>
      <c r="V125" s="451">
        <f t="shared" si="44"/>
        <v>170.98068497999478</v>
      </c>
      <c r="W125" s="451">
        <f t="shared" si="45"/>
        <v>133.68876500529836</v>
      </c>
      <c r="X125" s="451">
        <f t="shared" si="46"/>
        <v>162.69768827976179</v>
      </c>
      <c r="Y125" s="451">
        <f t="shared" si="47"/>
        <v>121.87953219419272</v>
      </c>
      <c r="Z125" s="451">
        <f t="shared" si="48"/>
        <v>0</v>
      </c>
      <c r="AA125" s="451">
        <f t="shared" si="49"/>
        <v>0</v>
      </c>
      <c r="AB125" s="452">
        <f t="shared" si="50"/>
        <v>0</v>
      </c>
      <c r="AC125" s="538">
        <f t="shared" si="51"/>
        <v>731.7801181977967</v>
      </c>
    </row>
    <row r="126" spans="1:29" x14ac:dyDescent="0.2">
      <c r="A126" s="319"/>
      <c r="B126" s="561" t="s">
        <v>20</v>
      </c>
      <c r="C126" s="520" t="s">
        <v>21</v>
      </c>
      <c r="D126" s="520" t="s">
        <v>22</v>
      </c>
      <c r="E126" s="520" t="s">
        <v>23</v>
      </c>
      <c r="F126" s="520" t="s">
        <v>24</v>
      </c>
      <c r="G126" s="520" t="s">
        <v>25</v>
      </c>
      <c r="H126" s="520" t="s">
        <v>26</v>
      </c>
      <c r="I126" s="520" t="s">
        <v>27</v>
      </c>
      <c r="J126" s="520" t="s">
        <v>28</v>
      </c>
      <c r="K126" s="520" t="s">
        <v>29</v>
      </c>
      <c r="L126" s="520" t="s">
        <v>30</v>
      </c>
      <c r="M126" s="520" t="s">
        <v>31</v>
      </c>
      <c r="N126" s="665" t="s">
        <v>53</v>
      </c>
      <c r="P126" s="537" t="str">
        <f t="shared" si="38"/>
        <v>KVV grot</v>
      </c>
      <c r="Q126" s="450">
        <f t="shared" si="39"/>
        <v>0</v>
      </c>
      <c r="R126" s="451">
        <f t="shared" si="40"/>
        <v>0</v>
      </c>
      <c r="S126" s="451">
        <f t="shared" si="41"/>
        <v>0</v>
      </c>
      <c r="T126" s="451">
        <f t="shared" si="42"/>
        <v>183.07116406937649</v>
      </c>
      <c r="U126" s="451">
        <f t="shared" si="43"/>
        <v>142.53344773854903</v>
      </c>
      <c r="V126" s="451">
        <f t="shared" si="44"/>
        <v>0</v>
      </c>
      <c r="W126" s="451">
        <f t="shared" si="45"/>
        <v>0</v>
      </c>
      <c r="X126" s="451">
        <f t="shared" si="46"/>
        <v>0</v>
      </c>
      <c r="Y126" s="451">
        <f t="shared" si="47"/>
        <v>121.87953219419272</v>
      </c>
      <c r="Z126" s="451">
        <f t="shared" si="48"/>
        <v>170.40528804688913</v>
      </c>
      <c r="AA126" s="451">
        <f t="shared" si="49"/>
        <v>0</v>
      </c>
      <c r="AB126" s="452">
        <f t="shared" si="50"/>
        <v>0</v>
      </c>
      <c r="AC126" s="538">
        <f t="shared" si="51"/>
        <v>617.88943204900738</v>
      </c>
    </row>
    <row r="127" spans="1:29" x14ac:dyDescent="0.2">
      <c r="A127" s="134" t="s">
        <v>370</v>
      </c>
      <c r="B127" s="514">
        <f t="shared" ref="B127:M127" si="52">B170</f>
        <v>-2.8729566978064547</v>
      </c>
      <c r="C127" s="514">
        <f t="shared" si="52"/>
        <v>-2.6846413005490835</v>
      </c>
      <c r="D127" s="514">
        <f t="shared" si="52"/>
        <v>-45.301161477361163</v>
      </c>
      <c r="E127" s="514">
        <f t="shared" si="52"/>
        <v>-14.204617943839303</v>
      </c>
      <c r="F127" s="514">
        <f t="shared" si="52"/>
        <v>-262.88794492942088</v>
      </c>
      <c r="G127" s="514">
        <f t="shared" si="52"/>
        <v>-268.94706721786491</v>
      </c>
      <c r="H127" s="514">
        <f t="shared" si="52"/>
        <v>-262.56556348353917</v>
      </c>
      <c r="I127" s="514">
        <f t="shared" si="52"/>
        <v>-179.79533809012349</v>
      </c>
      <c r="J127" s="514">
        <f t="shared" si="52"/>
        <v>-168.20546112506713</v>
      </c>
      <c r="K127" s="514">
        <f t="shared" si="52"/>
        <v>-14.14425368034793</v>
      </c>
      <c r="L127" s="514">
        <f t="shared" si="52"/>
        <v>-43.027593181428699</v>
      </c>
      <c r="M127" s="514">
        <f t="shared" si="52"/>
        <v>-2.6567474574144025</v>
      </c>
      <c r="N127" s="515">
        <f>SUM(B127:M127)</f>
        <v>-1267.2933465847627</v>
      </c>
      <c r="P127" s="537" t="str">
        <f t="shared" si="38"/>
        <v>Värmepump COP3</v>
      </c>
      <c r="Q127" s="450">
        <f t="shared" si="39"/>
        <v>0</v>
      </c>
      <c r="R127" s="451">
        <f t="shared" si="40"/>
        <v>0</v>
      </c>
      <c r="S127" s="451">
        <f t="shared" si="41"/>
        <v>257.12085500357563</v>
      </c>
      <c r="T127" s="451">
        <f t="shared" si="42"/>
        <v>274.60674610406471</v>
      </c>
      <c r="U127" s="451">
        <f t="shared" si="43"/>
        <v>0</v>
      </c>
      <c r="V127" s="451">
        <f t="shared" si="44"/>
        <v>0</v>
      </c>
      <c r="W127" s="451">
        <f t="shared" si="45"/>
        <v>0</v>
      </c>
      <c r="X127" s="451">
        <f t="shared" si="46"/>
        <v>0</v>
      </c>
      <c r="Y127" s="451">
        <f t="shared" si="47"/>
        <v>0</v>
      </c>
      <c r="Z127" s="451">
        <f t="shared" si="48"/>
        <v>255.60793207033365</v>
      </c>
      <c r="AA127" s="451">
        <f t="shared" si="49"/>
        <v>224.08357710913384</v>
      </c>
      <c r="AB127" s="452">
        <f t="shared" si="50"/>
        <v>0</v>
      </c>
      <c r="AC127" s="538">
        <f t="shared" si="51"/>
        <v>1011.4191102871077</v>
      </c>
    </row>
    <row r="128" spans="1:29" x14ac:dyDescent="0.2">
      <c r="A128" s="319" t="str">
        <f>A33</f>
        <v>Allokeringsprincip:</v>
      </c>
      <c r="B128" s="112" t="str">
        <f>B33</f>
        <v>Kraft-bonus-metoden</v>
      </c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664"/>
      <c r="P128" s="537" t="str">
        <f t="shared" si="38"/>
        <v>Spillvärme industri</v>
      </c>
      <c r="Q128" s="450">
        <f t="shared" si="39"/>
        <v>0</v>
      </c>
      <c r="R128" s="451">
        <f t="shared" si="40"/>
        <v>0</v>
      </c>
      <c r="S128" s="451">
        <f t="shared" si="41"/>
        <v>0</v>
      </c>
      <c r="T128" s="451">
        <f t="shared" si="42"/>
        <v>0</v>
      </c>
      <c r="U128" s="451">
        <f t="shared" si="43"/>
        <v>0</v>
      </c>
      <c r="V128" s="451">
        <f t="shared" si="44"/>
        <v>0</v>
      </c>
      <c r="W128" s="451">
        <f t="shared" si="45"/>
        <v>0</v>
      </c>
      <c r="X128" s="451">
        <f t="shared" si="46"/>
        <v>0</v>
      </c>
      <c r="Y128" s="451">
        <f t="shared" si="47"/>
        <v>0</v>
      </c>
      <c r="Z128" s="451">
        <f t="shared" si="48"/>
        <v>0</v>
      </c>
      <c r="AA128" s="451">
        <f t="shared" si="49"/>
        <v>0</v>
      </c>
      <c r="AB128" s="452">
        <f t="shared" si="50"/>
        <v>0</v>
      </c>
      <c r="AC128" s="538">
        <f t="shared" si="51"/>
        <v>0</v>
      </c>
    </row>
    <row r="129" spans="1:29" s="296" customFormat="1" x14ac:dyDescent="0.2">
      <c r="A129" s="320" t="str">
        <f>A34</f>
        <v>Typ av elmix :</v>
      </c>
      <c r="B129" s="113" t="str">
        <f>B34</f>
        <v>Marginalel</v>
      </c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666"/>
      <c r="P129" s="537" t="str">
        <f t="shared" si="38"/>
        <v>HVC Gas</v>
      </c>
      <c r="Q129" s="450">
        <f t="shared" si="39"/>
        <v>88.378549354421111</v>
      </c>
      <c r="R129" s="451">
        <f t="shared" si="40"/>
        <v>82.825427427007114</v>
      </c>
      <c r="S129" s="451">
        <f t="shared" si="41"/>
        <v>0</v>
      </c>
      <c r="T129" s="451">
        <f t="shared" si="42"/>
        <v>0</v>
      </c>
      <c r="U129" s="451">
        <f t="shared" si="43"/>
        <v>0</v>
      </c>
      <c r="V129" s="451">
        <f t="shared" si="44"/>
        <v>0</v>
      </c>
      <c r="W129" s="451">
        <f t="shared" si="45"/>
        <v>0</v>
      </c>
      <c r="X129" s="451">
        <f t="shared" si="46"/>
        <v>0</v>
      </c>
      <c r="Y129" s="451">
        <f t="shared" si="47"/>
        <v>0</v>
      </c>
      <c r="Z129" s="451">
        <f t="shared" si="48"/>
        <v>0</v>
      </c>
      <c r="AA129" s="451">
        <f t="shared" si="49"/>
        <v>0</v>
      </c>
      <c r="AB129" s="452">
        <f t="shared" si="50"/>
        <v>82.848586174214617</v>
      </c>
      <c r="AC129" s="538">
        <f t="shared" si="51"/>
        <v>254.05256295564283</v>
      </c>
    </row>
    <row r="130" spans="1:29" x14ac:dyDescent="0.2">
      <c r="A130" s="320" t="s">
        <v>371</v>
      </c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666"/>
      <c r="P130" s="537" t="str">
        <f t="shared" si="38"/>
        <v>KVV Gas</v>
      </c>
      <c r="Q130" s="450">
        <f t="shared" si="39"/>
        <v>559.73081257800038</v>
      </c>
      <c r="R130" s="451">
        <f t="shared" si="40"/>
        <v>524.56104037104501</v>
      </c>
      <c r="S130" s="451">
        <f t="shared" si="41"/>
        <v>385.68128250536341</v>
      </c>
      <c r="T130" s="451">
        <f t="shared" si="42"/>
        <v>0</v>
      </c>
      <c r="U130" s="451">
        <f t="shared" si="43"/>
        <v>0</v>
      </c>
      <c r="V130" s="451">
        <f t="shared" si="44"/>
        <v>0</v>
      </c>
      <c r="W130" s="451">
        <f t="shared" si="45"/>
        <v>0</v>
      </c>
      <c r="X130" s="451">
        <f t="shared" si="46"/>
        <v>0</v>
      </c>
      <c r="Y130" s="451">
        <f t="shared" si="47"/>
        <v>0</v>
      </c>
      <c r="Z130" s="451">
        <f t="shared" si="48"/>
        <v>0</v>
      </c>
      <c r="AA130" s="451">
        <f t="shared" si="49"/>
        <v>336.12536566370073</v>
      </c>
      <c r="AB130" s="452">
        <f t="shared" si="50"/>
        <v>524.70771243669253</v>
      </c>
      <c r="AC130" s="538">
        <f t="shared" si="51"/>
        <v>2330.8062135548021</v>
      </c>
    </row>
    <row r="131" spans="1:29" x14ac:dyDescent="0.2">
      <c r="A131" s="155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583"/>
      <c r="P131" s="539" t="str">
        <f t="shared" si="38"/>
        <v>Valfri 3</v>
      </c>
      <c r="Q131" s="453">
        <f t="shared" si="39"/>
        <v>0</v>
      </c>
      <c r="R131" s="454">
        <f t="shared" si="40"/>
        <v>0</v>
      </c>
      <c r="S131" s="454">
        <f t="shared" si="41"/>
        <v>0</v>
      </c>
      <c r="T131" s="454">
        <f t="shared" si="42"/>
        <v>0</v>
      </c>
      <c r="U131" s="454">
        <f t="shared" si="43"/>
        <v>0</v>
      </c>
      <c r="V131" s="454">
        <f t="shared" si="44"/>
        <v>0</v>
      </c>
      <c r="W131" s="454">
        <f t="shared" si="45"/>
        <v>0</v>
      </c>
      <c r="X131" s="454">
        <f t="shared" si="46"/>
        <v>0</v>
      </c>
      <c r="Y131" s="454">
        <f t="shared" si="47"/>
        <v>0</v>
      </c>
      <c r="Z131" s="454">
        <f t="shared" si="48"/>
        <v>0</v>
      </c>
      <c r="AA131" s="454">
        <f t="shared" si="49"/>
        <v>0</v>
      </c>
      <c r="AB131" s="455">
        <f t="shared" si="50"/>
        <v>0</v>
      </c>
      <c r="AC131" s="538">
        <f t="shared" si="51"/>
        <v>0</v>
      </c>
    </row>
    <row r="132" spans="1:29" x14ac:dyDescent="0.2">
      <c r="A132" s="436" t="s">
        <v>334</v>
      </c>
      <c r="B132" s="438"/>
      <c r="C132" s="438"/>
      <c r="D132" s="438"/>
      <c r="E132" s="438"/>
      <c r="F132" s="438"/>
      <c r="G132" s="438"/>
      <c r="H132" s="438"/>
      <c r="I132" s="438"/>
      <c r="J132" s="438"/>
      <c r="K132" s="438"/>
      <c r="L132" s="438"/>
      <c r="M132" s="438"/>
      <c r="N132" s="667"/>
      <c r="P132" s="540" t="s">
        <v>335</v>
      </c>
      <c r="Q132" s="456">
        <f>SUM(Q122:Q131)</f>
        <v>736.48791128684263</v>
      </c>
      <c r="R132" s="457">
        <f t="shared" ref="R132:AB132" si="53">SUM(R122:R131)</f>
        <v>690.21189522505927</v>
      </c>
      <c r="S132" s="457">
        <f t="shared" si="53"/>
        <v>642.80213750893904</v>
      </c>
      <c r="T132" s="457">
        <f t="shared" si="53"/>
        <v>457.67791017344121</v>
      </c>
      <c r="U132" s="457">
        <f t="shared" si="53"/>
        <v>285.06689547709806</v>
      </c>
      <c r="V132" s="457">
        <f t="shared" si="53"/>
        <v>170.98068497999478</v>
      </c>
      <c r="W132" s="457">
        <f t="shared" si="53"/>
        <v>133.68876500529836</v>
      </c>
      <c r="X132" s="457">
        <f t="shared" si="53"/>
        <v>162.69768827976179</v>
      </c>
      <c r="Y132" s="457">
        <f t="shared" si="53"/>
        <v>243.75906438838544</v>
      </c>
      <c r="Z132" s="457">
        <f t="shared" si="53"/>
        <v>426.01322011722277</v>
      </c>
      <c r="AA132" s="457">
        <f t="shared" si="53"/>
        <v>560.20894277283458</v>
      </c>
      <c r="AB132" s="458">
        <f t="shared" si="53"/>
        <v>690.40488478512179</v>
      </c>
      <c r="AC132" s="536">
        <f t="shared" si="51"/>
        <v>5199.9999999999991</v>
      </c>
    </row>
    <row r="133" spans="1:29" x14ac:dyDescent="0.2">
      <c r="A133" s="134" t="s">
        <v>332</v>
      </c>
      <c r="B133" s="520" t="s">
        <v>20</v>
      </c>
      <c r="C133" s="520" t="s">
        <v>21</v>
      </c>
      <c r="D133" s="520" t="s">
        <v>22</v>
      </c>
      <c r="E133" s="520" t="s">
        <v>23</v>
      </c>
      <c r="F133" s="520" t="s">
        <v>24</v>
      </c>
      <c r="G133" s="520" t="s">
        <v>25</v>
      </c>
      <c r="H133" s="520" t="s">
        <v>26</v>
      </c>
      <c r="I133" s="520" t="s">
        <v>27</v>
      </c>
      <c r="J133" s="520" t="s">
        <v>28</v>
      </c>
      <c r="K133" s="520" t="s">
        <v>29</v>
      </c>
      <c r="L133" s="520" t="s">
        <v>30</v>
      </c>
      <c r="M133" s="521" t="s">
        <v>31</v>
      </c>
      <c r="N133" s="668"/>
      <c r="P133" s="543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544"/>
    </row>
    <row r="134" spans="1:29" x14ac:dyDescent="0.2">
      <c r="A134" s="132" t="str">
        <f t="shared" ref="A134:A143" si="54">A107</f>
        <v>HVC EO1</v>
      </c>
      <c r="B134" s="301">
        <f>'ÄNDRINGSBARA PARAMETRAR'!B16</f>
        <v>288</v>
      </c>
      <c r="C134" s="301">
        <f>'ÄNDRINGSBARA PARAMETRAR'!C16</f>
        <v>288</v>
      </c>
      <c r="D134" s="301">
        <f>'ÄNDRINGSBARA PARAMETRAR'!D16</f>
        <v>288</v>
      </c>
      <c r="E134" s="301">
        <f>'ÄNDRINGSBARA PARAMETRAR'!E16</f>
        <v>288</v>
      </c>
      <c r="F134" s="301">
        <f>'ÄNDRINGSBARA PARAMETRAR'!F16</f>
        <v>288</v>
      </c>
      <c r="G134" s="301">
        <f>'ÄNDRINGSBARA PARAMETRAR'!G16</f>
        <v>288</v>
      </c>
      <c r="H134" s="301">
        <f>'ÄNDRINGSBARA PARAMETRAR'!H16</f>
        <v>288</v>
      </c>
      <c r="I134" s="301">
        <f>'ÄNDRINGSBARA PARAMETRAR'!I16</f>
        <v>288</v>
      </c>
      <c r="J134" s="301">
        <f>'ÄNDRINGSBARA PARAMETRAR'!J16</f>
        <v>288</v>
      </c>
      <c r="K134" s="301">
        <f>'ÄNDRINGSBARA PARAMETRAR'!K16</f>
        <v>288</v>
      </c>
      <c r="L134" s="301">
        <f>'ÄNDRINGSBARA PARAMETRAR'!L16</f>
        <v>288</v>
      </c>
      <c r="M134" s="302">
        <f>'ÄNDRINGSBARA PARAMETRAR'!M16</f>
        <v>288</v>
      </c>
      <c r="N134" s="669"/>
      <c r="P134" s="545" t="s">
        <v>333</v>
      </c>
      <c r="Q134" s="461" t="s">
        <v>20</v>
      </c>
      <c r="R134" s="461" t="s">
        <v>21</v>
      </c>
      <c r="S134" s="461" t="s">
        <v>22</v>
      </c>
      <c r="T134" s="461" t="s">
        <v>23</v>
      </c>
      <c r="U134" s="461" t="s">
        <v>24</v>
      </c>
      <c r="V134" s="461" t="s">
        <v>25</v>
      </c>
      <c r="W134" s="461" t="s">
        <v>26</v>
      </c>
      <c r="X134" s="461" t="s">
        <v>27</v>
      </c>
      <c r="Y134" s="461" t="s">
        <v>28</v>
      </c>
      <c r="Z134" s="461" t="s">
        <v>29</v>
      </c>
      <c r="AA134" s="461" t="s">
        <v>30</v>
      </c>
      <c r="AB134" s="462" t="s">
        <v>31</v>
      </c>
      <c r="AC134" s="546" t="s">
        <v>53</v>
      </c>
    </row>
    <row r="135" spans="1:29" x14ac:dyDescent="0.2">
      <c r="A135" s="132" t="str">
        <f t="shared" si="54"/>
        <v>HVC bioolja</v>
      </c>
      <c r="B135" s="301">
        <f>'ÄNDRINGSBARA PARAMETRAR'!B17</f>
        <v>0.72000000000000008</v>
      </c>
      <c r="C135" s="301">
        <f>'ÄNDRINGSBARA PARAMETRAR'!C17</f>
        <v>0.72000000000000008</v>
      </c>
      <c r="D135" s="301">
        <f>'ÄNDRINGSBARA PARAMETRAR'!D17</f>
        <v>0.72000000000000008</v>
      </c>
      <c r="E135" s="301">
        <f>'ÄNDRINGSBARA PARAMETRAR'!E17</f>
        <v>0.72000000000000008</v>
      </c>
      <c r="F135" s="301">
        <f>'ÄNDRINGSBARA PARAMETRAR'!F17</f>
        <v>0.72000000000000008</v>
      </c>
      <c r="G135" s="301">
        <f>'ÄNDRINGSBARA PARAMETRAR'!G17</f>
        <v>0.72000000000000008</v>
      </c>
      <c r="H135" s="301">
        <f>'ÄNDRINGSBARA PARAMETRAR'!H17</f>
        <v>0.72000000000000008</v>
      </c>
      <c r="I135" s="301">
        <f>'ÄNDRINGSBARA PARAMETRAR'!I17</f>
        <v>0.72000000000000008</v>
      </c>
      <c r="J135" s="301">
        <f>'ÄNDRINGSBARA PARAMETRAR'!J17</f>
        <v>0.72000000000000008</v>
      </c>
      <c r="K135" s="301">
        <f>'ÄNDRINGSBARA PARAMETRAR'!K17</f>
        <v>0.72000000000000008</v>
      </c>
      <c r="L135" s="301">
        <f>'ÄNDRINGSBARA PARAMETRAR'!L17</f>
        <v>0.72000000000000008</v>
      </c>
      <c r="M135" s="302">
        <f>'ÄNDRINGSBARA PARAMETRAR'!M17</f>
        <v>0.72000000000000008</v>
      </c>
      <c r="N135" s="669"/>
      <c r="P135" s="547" t="str">
        <f t="shared" ref="P135:P144" si="55">A134</f>
        <v>HVC EO1</v>
      </c>
      <c r="Q135" s="505">
        <f>B147*Q109/1000</f>
        <v>0</v>
      </c>
      <c r="R135" s="505">
        <f t="shared" ref="R135:AB144" si="56">C147*R109/1000</f>
        <v>0</v>
      </c>
      <c r="S135" s="505">
        <f t="shared" si="56"/>
        <v>0</v>
      </c>
      <c r="T135" s="505">
        <f t="shared" si="56"/>
        <v>0</v>
      </c>
      <c r="U135" s="505">
        <f t="shared" si="56"/>
        <v>0</v>
      </c>
      <c r="V135" s="505">
        <f t="shared" si="56"/>
        <v>0</v>
      </c>
      <c r="W135" s="505">
        <f t="shared" si="56"/>
        <v>0</v>
      </c>
      <c r="X135" s="505">
        <f t="shared" si="56"/>
        <v>0</v>
      </c>
      <c r="Y135" s="505">
        <f t="shared" si="56"/>
        <v>0</v>
      </c>
      <c r="Z135" s="505">
        <f t="shared" si="56"/>
        <v>0</v>
      </c>
      <c r="AA135" s="505">
        <f t="shared" si="56"/>
        <v>0</v>
      </c>
      <c r="AB135" s="505">
        <f t="shared" si="56"/>
        <v>0</v>
      </c>
      <c r="AC135" s="548">
        <f>SUM(Q135:AB135)</f>
        <v>0</v>
      </c>
    </row>
    <row r="136" spans="1:29" x14ac:dyDescent="0.2">
      <c r="A136" s="132" t="str">
        <f t="shared" si="54"/>
        <v>HVC pellets</v>
      </c>
      <c r="B136" s="301">
        <f>'ÄNDRINGSBARA PARAMETRAR'!B18</f>
        <v>7.9200000000000008</v>
      </c>
      <c r="C136" s="301">
        <f>'ÄNDRINGSBARA PARAMETRAR'!C18</f>
        <v>7.9200000000000008</v>
      </c>
      <c r="D136" s="301">
        <f>'ÄNDRINGSBARA PARAMETRAR'!D18</f>
        <v>7.9200000000000008</v>
      </c>
      <c r="E136" s="301">
        <f>'ÄNDRINGSBARA PARAMETRAR'!E18</f>
        <v>7.9200000000000008</v>
      </c>
      <c r="F136" s="301">
        <f>'ÄNDRINGSBARA PARAMETRAR'!F18</f>
        <v>7.9200000000000008</v>
      </c>
      <c r="G136" s="301">
        <f>'ÄNDRINGSBARA PARAMETRAR'!G18</f>
        <v>7.9200000000000008</v>
      </c>
      <c r="H136" s="301">
        <f>'ÄNDRINGSBARA PARAMETRAR'!H18</f>
        <v>7.9200000000000008</v>
      </c>
      <c r="I136" s="301">
        <f>'ÄNDRINGSBARA PARAMETRAR'!I18</f>
        <v>7.9200000000000008</v>
      </c>
      <c r="J136" s="301">
        <f>'ÄNDRINGSBARA PARAMETRAR'!J18</f>
        <v>7.9200000000000008</v>
      </c>
      <c r="K136" s="301">
        <f>'ÄNDRINGSBARA PARAMETRAR'!K18</f>
        <v>7.9200000000000008</v>
      </c>
      <c r="L136" s="301">
        <f>'ÄNDRINGSBARA PARAMETRAR'!L18</f>
        <v>7.9200000000000008</v>
      </c>
      <c r="M136" s="302">
        <f>'ÄNDRINGSBARA PARAMETRAR'!M18</f>
        <v>7.9200000000000008</v>
      </c>
      <c r="N136" s="669"/>
      <c r="P136" s="547" t="str">
        <f t="shared" si="55"/>
        <v>HVC bioolja</v>
      </c>
      <c r="Q136" s="505">
        <f t="shared" ref="Q136:Q144" si="57">B148*Q110/1000</f>
        <v>0</v>
      </c>
      <c r="R136" s="505">
        <f t="shared" si="56"/>
        <v>0</v>
      </c>
      <c r="S136" s="505">
        <f t="shared" si="56"/>
        <v>0</v>
      </c>
      <c r="T136" s="505">
        <f t="shared" si="56"/>
        <v>0</v>
      </c>
      <c r="U136" s="505">
        <f t="shared" si="56"/>
        <v>0</v>
      </c>
      <c r="V136" s="505">
        <f t="shared" si="56"/>
        <v>0</v>
      </c>
      <c r="W136" s="505">
        <f t="shared" si="56"/>
        <v>0</v>
      </c>
      <c r="X136" s="505">
        <f t="shared" si="56"/>
        <v>0</v>
      </c>
      <c r="Y136" s="505">
        <f t="shared" si="56"/>
        <v>0</v>
      </c>
      <c r="Z136" s="505">
        <f t="shared" si="56"/>
        <v>0</v>
      </c>
      <c r="AA136" s="505">
        <f t="shared" si="56"/>
        <v>0</v>
      </c>
      <c r="AB136" s="505">
        <f t="shared" si="56"/>
        <v>0</v>
      </c>
      <c r="AC136" s="548">
        <f t="shared" ref="AC136:AC144" si="58">SUM(Q136:AB136)</f>
        <v>0</v>
      </c>
    </row>
    <row r="137" spans="1:29" x14ac:dyDescent="0.2">
      <c r="A137" s="132" t="str">
        <f t="shared" si="54"/>
        <v>KVV avfall</v>
      </c>
      <c r="B137" s="301">
        <f>'ÄNDRINGSBARA PARAMETRAR'!B19</f>
        <v>136.80000000000001</v>
      </c>
      <c r="C137" s="301">
        <f>'ÄNDRINGSBARA PARAMETRAR'!C19</f>
        <v>136.80000000000001</v>
      </c>
      <c r="D137" s="301">
        <f>'ÄNDRINGSBARA PARAMETRAR'!D19</f>
        <v>136.80000000000001</v>
      </c>
      <c r="E137" s="301">
        <f>'ÄNDRINGSBARA PARAMETRAR'!E19</f>
        <v>136.80000000000001</v>
      </c>
      <c r="F137" s="301">
        <f>'ÄNDRINGSBARA PARAMETRAR'!F19</f>
        <v>136.80000000000001</v>
      </c>
      <c r="G137" s="301">
        <f>'ÄNDRINGSBARA PARAMETRAR'!G19</f>
        <v>136.80000000000001</v>
      </c>
      <c r="H137" s="301">
        <f>'ÄNDRINGSBARA PARAMETRAR'!H19</f>
        <v>136.80000000000001</v>
      </c>
      <c r="I137" s="301">
        <f>'ÄNDRINGSBARA PARAMETRAR'!I19</f>
        <v>136.80000000000001</v>
      </c>
      <c r="J137" s="301">
        <f>'ÄNDRINGSBARA PARAMETRAR'!J19</f>
        <v>136.80000000000001</v>
      </c>
      <c r="K137" s="301">
        <f>'ÄNDRINGSBARA PARAMETRAR'!K19</f>
        <v>136.80000000000001</v>
      </c>
      <c r="L137" s="301">
        <f>'ÄNDRINGSBARA PARAMETRAR'!L19</f>
        <v>136.80000000000001</v>
      </c>
      <c r="M137" s="302">
        <f>'ÄNDRINGSBARA PARAMETRAR'!M19</f>
        <v>136.80000000000001</v>
      </c>
      <c r="N137" s="669"/>
      <c r="P137" s="547" t="str">
        <f t="shared" si="55"/>
        <v>HVC pellets</v>
      </c>
      <c r="Q137" s="505">
        <f t="shared" si="57"/>
        <v>0.29077202824380943</v>
      </c>
      <c r="R137" s="505">
        <f t="shared" si="56"/>
        <v>0.27408742649880541</v>
      </c>
      <c r="S137" s="505">
        <f t="shared" si="56"/>
        <v>0</v>
      </c>
      <c r="T137" s="505">
        <f t="shared" si="56"/>
        <v>0</v>
      </c>
      <c r="U137" s="505">
        <f t="shared" si="56"/>
        <v>0</v>
      </c>
      <c r="V137" s="505">
        <f t="shared" si="56"/>
        <v>0</v>
      </c>
      <c r="W137" s="505">
        <f t="shared" si="56"/>
        <v>0</v>
      </c>
      <c r="X137" s="505">
        <f t="shared" si="56"/>
        <v>0</v>
      </c>
      <c r="Y137" s="505">
        <f t="shared" si="56"/>
        <v>0</v>
      </c>
      <c r="Z137" s="505">
        <f t="shared" si="56"/>
        <v>0</v>
      </c>
      <c r="AA137" s="505">
        <f t="shared" si="56"/>
        <v>0</v>
      </c>
      <c r="AB137" s="505">
        <f t="shared" si="56"/>
        <v>0.2799885214310075</v>
      </c>
      <c r="AC137" s="548">
        <f t="shared" si="58"/>
        <v>0.84484797617362239</v>
      </c>
    </row>
    <row r="138" spans="1:29" x14ac:dyDescent="0.2">
      <c r="A138" s="132" t="str">
        <f t="shared" si="54"/>
        <v>KVV grot</v>
      </c>
      <c r="B138" s="301">
        <f>'ÄNDRINGSBARA PARAMETRAR'!B20</f>
        <v>7.9200000000000008</v>
      </c>
      <c r="C138" s="301">
        <f>'ÄNDRINGSBARA PARAMETRAR'!C20</f>
        <v>7.9200000000000008</v>
      </c>
      <c r="D138" s="301">
        <f>'ÄNDRINGSBARA PARAMETRAR'!D20</f>
        <v>7.9200000000000008</v>
      </c>
      <c r="E138" s="301">
        <f>'ÄNDRINGSBARA PARAMETRAR'!E20</f>
        <v>7.9200000000000008</v>
      </c>
      <c r="F138" s="301">
        <f>'ÄNDRINGSBARA PARAMETRAR'!F20</f>
        <v>7.9200000000000008</v>
      </c>
      <c r="G138" s="301">
        <f>'ÄNDRINGSBARA PARAMETRAR'!G20</f>
        <v>7.9200000000000008</v>
      </c>
      <c r="H138" s="301">
        <f>'ÄNDRINGSBARA PARAMETRAR'!H20</f>
        <v>7.9200000000000008</v>
      </c>
      <c r="I138" s="301">
        <f>'ÄNDRINGSBARA PARAMETRAR'!I20</f>
        <v>7.9200000000000008</v>
      </c>
      <c r="J138" s="301">
        <f>'ÄNDRINGSBARA PARAMETRAR'!J20</f>
        <v>7.9200000000000008</v>
      </c>
      <c r="K138" s="301">
        <f>'ÄNDRINGSBARA PARAMETRAR'!K20</f>
        <v>7.9200000000000008</v>
      </c>
      <c r="L138" s="301">
        <f>'ÄNDRINGSBARA PARAMETRAR'!L20</f>
        <v>7.9200000000000008</v>
      </c>
      <c r="M138" s="302">
        <f>'ÄNDRINGSBARA PARAMETRAR'!M20</f>
        <v>7.9200000000000008</v>
      </c>
      <c r="N138" s="669"/>
      <c r="P138" s="547" t="str">
        <f t="shared" si="55"/>
        <v>KVV avfall</v>
      </c>
      <c r="Q138" s="505">
        <f t="shared" si="57"/>
        <v>0</v>
      </c>
      <c r="R138" s="505">
        <f t="shared" si="56"/>
        <v>0</v>
      </c>
      <c r="S138" s="505">
        <f t="shared" si="56"/>
        <v>0</v>
      </c>
      <c r="T138" s="505">
        <f t="shared" si="56"/>
        <v>0</v>
      </c>
      <c r="U138" s="505">
        <f t="shared" si="56"/>
        <v>-111.92198172094176</v>
      </c>
      <c r="V138" s="505">
        <f t="shared" si="56"/>
        <v>-298.21896048644004</v>
      </c>
      <c r="W138" s="505">
        <f t="shared" si="56"/>
        <v>-285.45308005244624</v>
      </c>
      <c r="X138" s="505">
        <f t="shared" si="56"/>
        <v>-207.6491823236187</v>
      </c>
      <c r="Y138" s="505">
        <f t="shared" si="56"/>
        <v>-76.864482633432303</v>
      </c>
      <c r="Z138" s="505">
        <f t="shared" si="56"/>
        <v>0</v>
      </c>
      <c r="AA138" s="505">
        <f t="shared" si="56"/>
        <v>0</v>
      </c>
      <c r="AB138" s="505">
        <f t="shared" si="56"/>
        <v>0</v>
      </c>
      <c r="AC138" s="548">
        <f t="shared" si="58"/>
        <v>-980.10768721687907</v>
      </c>
    </row>
    <row r="139" spans="1:29" x14ac:dyDescent="0.2">
      <c r="A139" s="132" t="str">
        <f t="shared" si="54"/>
        <v>Värmepump COP3</v>
      </c>
      <c r="B139" s="301">
        <f>'ÄNDRINGSBARA PARAMETRAR'!B21</f>
        <v>884</v>
      </c>
      <c r="C139" s="301">
        <f>'ÄNDRINGSBARA PARAMETRAR'!C21</f>
        <v>884</v>
      </c>
      <c r="D139" s="301">
        <f>'ÄNDRINGSBARA PARAMETRAR'!D21</f>
        <v>884</v>
      </c>
      <c r="E139" s="301">
        <f>'ÄNDRINGSBARA PARAMETRAR'!E21</f>
        <v>884</v>
      </c>
      <c r="F139" s="301">
        <f>'ÄNDRINGSBARA PARAMETRAR'!F21</f>
        <v>884</v>
      </c>
      <c r="G139" s="301">
        <f>'ÄNDRINGSBARA PARAMETRAR'!G21</f>
        <v>884</v>
      </c>
      <c r="H139" s="301">
        <f>'ÄNDRINGSBARA PARAMETRAR'!H21</f>
        <v>884</v>
      </c>
      <c r="I139" s="301">
        <f>'ÄNDRINGSBARA PARAMETRAR'!I21</f>
        <v>884</v>
      </c>
      <c r="J139" s="301">
        <f>'ÄNDRINGSBARA PARAMETRAR'!J21</f>
        <v>884</v>
      </c>
      <c r="K139" s="301">
        <f>'ÄNDRINGSBARA PARAMETRAR'!K21</f>
        <v>884</v>
      </c>
      <c r="L139" s="301">
        <f>'ÄNDRINGSBARA PARAMETRAR'!L21</f>
        <v>884</v>
      </c>
      <c r="M139" s="302">
        <f>'ÄNDRINGSBARA PARAMETRAR'!M21</f>
        <v>884</v>
      </c>
      <c r="N139" s="669"/>
      <c r="P139" s="547" t="str">
        <f t="shared" si="55"/>
        <v>KVV grot</v>
      </c>
      <c r="Q139" s="505">
        <f t="shared" si="57"/>
        <v>0</v>
      </c>
      <c r="R139" s="505">
        <f t="shared" si="56"/>
        <v>0</v>
      </c>
      <c r="S139" s="505">
        <f t="shared" si="56"/>
        <v>0</v>
      </c>
      <c r="T139" s="505">
        <f t="shared" si="56"/>
        <v>-13.561118748726757</v>
      </c>
      <c r="U139" s="505">
        <f t="shared" si="56"/>
        <v>-224.26236337355058</v>
      </c>
      <c r="V139" s="505">
        <f t="shared" si="56"/>
        <v>0</v>
      </c>
      <c r="W139" s="505">
        <f t="shared" si="56"/>
        <v>0</v>
      </c>
      <c r="X139" s="505">
        <f t="shared" si="56"/>
        <v>0</v>
      </c>
      <c r="Y139" s="505">
        <f t="shared" si="56"/>
        <v>-154.0163091271765</v>
      </c>
      <c r="Z139" s="505">
        <f t="shared" si="56"/>
        <v>-9.4254664050308907</v>
      </c>
      <c r="AA139" s="505">
        <f t="shared" si="56"/>
        <v>0</v>
      </c>
      <c r="AB139" s="505">
        <f t="shared" si="56"/>
        <v>0</v>
      </c>
      <c r="AC139" s="548">
        <f t="shared" si="58"/>
        <v>-401.26525765448469</v>
      </c>
    </row>
    <row r="140" spans="1:29" x14ac:dyDescent="0.2">
      <c r="A140" s="132" t="str">
        <f t="shared" si="54"/>
        <v>Spillvärme industri</v>
      </c>
      <c r="B140" s="301">
        <f>'ÄNDRINGSBARA PARAMETRAR'!B22</f>
        <v>0</v>
      </c>
      <c r="C140" s="301">
        <f>'ÄNDRINGSBARA PARAMETRAR'!C22</f>
        <v>0</v>
      </c>
      <c r="D140" s="301">
        <f>'ÄNDRINGSBARA PARAMETRAR'!D22</f>
        <v>0</v>
      </c>
      <c r="E140" s="301">
        <f>'ÄNDRINGSBARA PARAMETRAR'!E22</f>
        <v>0</v>
      </c>
      <c r="F140" s="301">
        <f>'ÄNDRINGSBARA PARAMETRAR'!F22</f>
        <v>0</v>
      </c>
      <c r="G140" s="301">
        <f>'ÄNDRINGSBARA PARAMETRAR'!G22</f>
        <v>0</v>
      </c>
      <c r="H140" s="301">
        <f>'ÄNDRINGSBARA PARAMETRAR'!H22</f>
        <v>0</v>
      </c>
      <c r="I140" s="301">
        <f>'ÄNDRINGSBARA PARAMETRAR'!I22</f>
        <v>0</v>
      </c>
      <c r="J140" s="301">
        <f>'ÄNDRINGSBARA PARAMETRAR'!J22</f>
        <v>0</v>
      </c>
      <c r="K140" s="301">
        <f>'ÄNDRINGSBARA PARAMETRAR'!K22</f>
        <v>0</v>
      </c>
      <c r="L140" s="301">
        <f>'ÄNDRINGSBARA PARAMETRAR'!L22</f>
        <v>0</v>
      </c>
      <c r="M140" s="302">
        <f>'ÄNDRINGSBARA PARAMETRAR'!M22</f>
        <v>0</v>
      </c>
      <c r="N140" s="669"/>
      <c r="P140" s="547" t="str">
        <f t="shared" si="55"/>
        <v>Värmepump COP3</v>
      </c>
      <c r="Q140" s="505">
        <f t="shared" si="57"/>
        <v>0</v>
      </c>
      <c r="R140" s="505">
        <f t="shared" si="56"/>
        <v>0</v>
      </c>
      <c r="S140" s="505">
        <f t="shared" si="56"/>
        <v>19.791820216463158</v>
      </c>
      <c r="T140" s="505">
        <f t="shared" si="56"/>
        <v>17.473223201192937</v>
      </c>
      <c r="U140" s="505">
        <f t="shared" si="56"/>
        <v>0</v>
      </c>
      <c r="V140" s="505">
        <f t="shared" si="56"/>
        <v>0</v>
      </c>
      <c r="W140" s="505">
        <f t="shared" si="56"/>
        <v>0</v>
      </c>
      <c r="X140" s="505">
        <f t="shared" si="56"/>
        <v>0</v>
      </c>
      <c r="Y140" s="505">
        <f t="shared" si="56"/>
        <v>0</v>
      </c>
      <c r="Z140" s="505">
        <f t="shared" si="56"/>
        <v>12.144520029803092</v>
      </c>
      <c r="AA140" s="505">
        <f t="shared" si="56"/>
        <v>12.866006960854461</v>
      </c>
      <c r="AB140" s="505">
        <f t="shared" si="56"/>
        <v>0</v>
      </c>
      <c r="AC140" s="548">
        <f t="shared" si="58"/>
        <v>62.275570408313648</v>
      </c>
    </row>
    <row r="141" spans="1:29" x14ac:dyDescent="0.2">
      <c r="A141" s="132" t="str">
        <f t="shared" si="54"/>
        <v>HVC Gas</v>
      </c>
      <c r="B141" s="301">
        <f>'ÄNDRINGSBARA PARAMETRAR'!B23</f>
        <v>248.4</v>
      </c>
      <c r="C141" s="301">
        <f>'ÄNDRINGSBARA PARAMETRAR'!C23</f>
        <v>248.4</v>
      </c>
      <c r="D141" s="301">
        <f>'ÄNDRINGSBARA PARAMETRAR'!D23</f>
        <v>248.4</v>
      </c>
      <c r="E141" s="301">
        <f>'ÄNDRINGSBARA PARAMETRAR'!E23</f>
        <v>248.4</v>
      </c>
      <c r="F141" s="301">
        <f>'ÄNDRINGSBARA PARAMETRAR'!F23</f>
        <v>248.4</v>
      </c>
      <c r="G141" s="301">
        <f>'ÄNDRINGSBARA PARAMETRAR'!G23</f>
        <v>248.4</v>
      </c>
      <c r="H141" s="301">
        <f>'ÄNDRINGSBARA PARAMETRAR'!H23</f>
        <v>248.4</v>
      </c>
      <c r="I141" s="301">
        <f>'ÄNDRINGSBARA PARAMETRAR'!I23</f>
        <v>248.4</v>
      </c>
      <c r="J141" s="301">
        <f>'ÄNDRINGSBARA PARAMETRAR'!J23</f>
        <v>248.4</v>
      </c>
      <c r="K141" s="301">
        <f>'ÄNDRINGSBARA PARAMETRAR'!K23</f>
        <v>248.4</v>
      </c>
      <c r="L141" s="301">
        <f>'ÄNDRINGSBARA PARAMETRAR'!L23</f>
        <v>248.4</v>
      </c>
      <c r="M141" s="302">
        <f>'ÄNDRINGSBARA PARAMETRAR'!M23</f>
        <v>248.4</v>
      </c>
      <c r="N141" s="669"/>
      <c r="P141" s="547" t="str">
        <f t="shared" si="55"/>
        <v>Spillvärme industri</v>
      </c>
      <c r="Q141" s="505">
        <f t="shared" si="57"/>
        <v>0</v>
      </c>
      <c r="R141" s="505">
        <f t="shared" si="56"/>
        <v>0</v>
      </c>
      <c r="S141" s="505">
        <f t="shared" si="56"/>
        <v>0</v>
      </c>
      <c r="T141" s="505">
        <f t="shared" si="56"/>
        <v>0</v>
      </c>
      <c r="U141" s="505">
        <f t="shared" si="56"/>
        <v>0</v>
      </c>
      <c r="V141" s="505">
        <f t="shared" si="56"/>
        <v>0</v>
      </c>
      <c r="W141" s="505">
        <f t="shared" si="56"/>
        <v>0</v>
      </c>
      <c r="X141" s="505">
        <f t="shared" si="56"/>
        <v>0</v>
      </c>
      <c r="Y141" s="505">
        <f t="shared" si="56"/>
        <v>0</v>
      </c>
      <c r="Z141" s="505">
        <f t="shared" si="56"/>
        <v>0</v>
      </c>
      <c r="AA141" s="505">
        <f t="shared" si="56"/>
        <v>0</v>
      </c>
      <c r="AB141" s="505">
        <f t="shared" si="56"/>
        <v>0</v>
      </c>
      <c r="AC141" s="548">
        <f t="shared" si="58"/>
        <v>0</v>
      </c>
    </row>
    <row r="142" spans="1:29" s="296" customFormat="1" x14ac:dyDescent="0.2">
      <c r="A142" s="132" t="str">
        <f t="shared" si="54"/>
        <v>KVV Gas</v>
      </c>
      <c r="B142" s="301">
        <f>'ÄNDRINGSBARA PARAMETRAR'!B24</f>
        <v>248.4</v>
      </c>
      <c r="C142" s="301">
        <f>'ÄNDRINGSBARA PARAMETRAR'!C24</f>
        <v>248.4</v>
      </c>
      <c r="D142" s="301">
        <f>'ÄNDRINGSBARA PARAMETRAR'!D24</f>
        <v>248.4</v>
      </c>
      <c r="E142" s="301">
        <f>'ÄNDRINGSBARA PARAMETRAR'!E24</f>
        <v>248.4</v>
      </c>
      <c r="F142" s="301">
        <f>'ÄNDRINGSBARA PARAMETRAR'!F24</f>
        <v>248.4</v>
      </c>
      <c r="G142" s="301">
        <f>'ÄNDRINGSBARA PARAMETRAR'!G24</f>
        <v>248.4</v>
      </c>
      <c r="H142" s="301">
        <f>'ÄNDRINGSBARA PARAMETRAR'!H24</f>
        <v>248.4</v>
      </c>
      <c r="I142" s="301">
        <f>'ÄNDRINGSBARA PARAMETRAR'!I24</f>
        <v>248.4</v>
      </c>
      <c r="J142" s="301">
        <f>'ÄNDRINGSBARA PARAMETRAR'!J24</f>
        <v>248.4</v>
      </c>
      <c r="K142" s="301">
        <f>'ÄNDRINGSBARA PARAMETRAR'!K24</f>
        <v>248.4</v>
      </c>
      <c r="L142" s="301">
        <f>'ÄNDRINGSBARA PARAMETRAR'!L24</f>
        <v>248.4</v>
      </c>
      <c r="M142" s="302">
        <f>'ÄNDRINGSBARA PARAMETRAR'!M24</f>
        <v>248.4</v>
      </c>
      <c r="N142" s="669"/>
      <c r="P142" s="547" t="str">
        <f t="shared" si="55"/>
        <v>HVC Gas</v>
      </c>
      <c r="Q142" s="505">
        <f t="shared" si="57"/>
        <v>8.1063716964940813</v>
      </c>
      <c r="R142" s="505">
        <f t="shared" si="56"/>
        <v>7.64122522360306</v>
      </c>
      <c r="S142" s="505">
        <f t="shared" si="56"/>
        <v>0</v>
      </c>
      <c r="T142" s="505">
        <f t="shared" si="56"/>
        <v>0</v>
      </c>
      <c r="U142" s="505">
        <f t="shared" si="56"/>
        <v>0</v>
      </c>
      <c r="V142" s="505">
        <f t="shared" si="56"/>
        <v>0</v>
      </c>
      <c r="W142" s="505">
        <f t="shared" si="56"/>
        <v>0</v>
      </c>
      <c r="X142" s="505">
        <f t="shared" si="56"/>
        <v>0</v>
      </c>
      <c r="Y142" s="505">
        <f t="shared" si="56"/>
        <v>0</v>
      </c>
      <c r="Z142" s="505">
        <f t="shared" si="56"/>
        <v>0</v>
      </c>
      <c r="AA142" s="505">
        <f t="shared" si="56"/>
        <v>0</v>
      </c>
      <c r="AB142" s="505">
        <f t="shared" si="56"/>
        <v>7.8057405974705114</v>
      </c>
      <c r="AC142" s="548">
        <f t="shared" si="58"/>
        <v>23.553337517567652</v>
      </c>
    </row>
    <row r="143" spans="1:29" x14ac:dyDescent="0.2">
      <c r="A143" s="133" t="str">
        <f t="shared" si="54"/>
        <v>Valfri 3</v>
      </c>
      <c r="B143" s="441">
        <f>'ÄNDRINGSBARA PARAMETRAR'!B25</f>
        <v>0</v>
      </c>
      <c r="C143" s="441">
        <f>'ÄNDRINGSBARA PARAMETRAR'!C25</f>
        <v>0</v>
      </c>
      <c r="D143" s="441">
        <f>'ÄNDRINGSBARA PARAMETRAR'!D25</f>
        <v>0</v>
      </c>
      <c r="E143" s="441">
        <f>'ÄNDRINGSBARA PARAMETRAR'!E25</f>
        <v>0</v>
      </c>
      <c r="F143" s="441">
        <f>'ÄNDRINGSBARA PARAMETRAR'!F25</f>
        <v>0</v>
      </c>
      <c r="G143" s="441">
        <f>'ÄNDRINGSBARA PARAMETRAR'!G25</f>
        <v>0</v>
      </c>
      <c r="H143" s="441">
        <f>'ÄNDRINGSBARA PARAMETRAR'!H25</f>
        <v>0</v>
      </c>
      <c r="I143" s="441">
        <f>'ÄNDRINGSBARA PARAMETRAR'!I25</f>
        <v>0</v>
      </c>
      <c r="J143" s="441">
        <f>'ÄNDRINGSBARA PARAMETRAR'!J25</f>
        <v>0</v>
      </c>
      <c r="K143" s="441">
        <f>'ÄNDRINGSBARA PARAMETRAR'!K25</f>
        <v>0</v>
      </c>
      <c r="L143" s="441">
        <f>'ÄNDRINGSBARA PARAMETRAR'!L25</f>
        <v>0</v>
      </c>
      <c r="M143" s="442">
        <f>'ÄNDRINGSBARA PARAMETRAR'!M25</f>
        <v>0</v>
      </c>
      <c r="N143" s="668"/>
      <c r="P143" s="547" t="str">
        <f t="shared" si="55"/>
        <v>KVV Gas</v>
      </c>
      <c r="Q143" s="505">
        <f t="shared" si="57"/>
        <v>-6.9671363241277815</v>
      </c>
      <c r="R143" s="505">
        <f t="shared" si="56"/>
        <v>-6.5673595795306241</v>
      </c>
      <c r="S143" s="505">
        <f t="shared" si="56"/>
        <v>-3.7735535460019332</v>
      </c>
      <c r="T143" s="505">
        <f t="shared" si="56"/>
        <v>0</v>
      </c>
      <c r="U143" s="505">
        <f t="shared" si="56"/>
        <v>0</v>
      </c>
      <c r="V143" s="505">
        <f t="shared" si="56"/>
        <v>0</v>
      </c>
      <c r="W143" s="505">
        <f t="shared" si="56"/>
        <v>0</v>
      </c>
      <c r="X143" s="505">
        <f t="shared" si="56"/>
        <v>0</v>
      </c>
      <c r="Y143" s="505">
        <f t="shared" si="56"/>
        <v>0</v>
      </c>
      <c r="Z143" s="505">
        <f t="shared" si="56"/>
        <v>0</v>
      </c>
      <c r="AA143" s="505">
        <f t="shared" si="56"/>
        <v>-2.4530622074685557</v>
      </c>
      <c r="AB143" s="505">
        <f t="shared" si="56"/>
        <v>-6.7087546549186792</v>
      </c>
      <c r="AC143" s="548">
        <f t="shared" si="58"/>
        <v>-26.469866312047571</v>
      </c>
    </row>
    <row r="144" spans="1:29" s="5" customFormat="1" x14ac:dyDescent="0.2">
      <c r="A144" s="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583"/>
      <c r="P144" s="547" t="str">
        <f t="shared" si="55"/>
        <v>Valfri 3</v>
      </c>
      <c r="Q144" s="505">
        <f t="shared" si="57"/>
        <v>0</v>
      </c>
      <c r="R144" s="505">
        <f t="shared" si="56"/>
        <v>0</v>
      </c>
      <c r="S144" s="505">
        <f t="shared" si="56"/>
        <v>0</v>
      </c>
      <c r="T144" s="505">
        <f t="shared" si="56"/>
        <v>0</v>
      </c>
      <c r="U144" s="505">
        <f t="shared" si="56"/>
        <v>0</v>
      </c>
      <c r="V144" s="505">
        <f t="shared" si="56"/>
        <v>0</v>
      </c>
      <c r="W144" s="505">
        <f t="shared" si="56"/>
        <v>0</v>
      </c>
      <c r="X144" s="505">
        <f t="shared" si="56"/>
        <v>0</v>
      </c>
      <c r="Y144" s="505">
        <f t="shared" si="56"/>
        <v>0</v>
      </c>
      <c r="Z144" s="505">
        <f t="shared" si="56"/>
        <v>0</v>
      </c>
      <c r="AA144" s="505">
        <f t="shared" si="56"/>
        <v>0</v>
      </c>
      <c r="AB144" s="505">
        <f t="shared" si="56"/>
        <v>0</v>
      </c>
      <c r="AC144" s="548">
        <f t="shared" si="58"/>
        <v>0</v>
      </c>
    </row>
    <row r="145" spans="1:29" x14ac:dyDescent="0.2">
      <c r="A145" s="436" t="s">
        <v>405</v>
      </c>
      <c r="B145" s="438"/>
      <c r="C145" s="438"/>
      <c r="D145" s="438"/>
      <c r="E145" s="438"/>
      <c r="F145" s="438"/>
      <c r="G145" s="438"/>
      <c r="H145" s="438"/>
      <c r="I145" s="438"/>
      <c r="J145" s="438"/>
      <c r="K145" s="438"/>
      <c r="L145" s="438"/>
      <c r="M145" s="438"/>
      <c r="N145" s="667"/>
      <c r="P145" s="545" t="s">
        <v>307</v>
      </c>
      <c r="Q145" s="506">
        <f>SUM(Q135:Q144)</f>
        <v>1.4300074006101093</v>
      </c>
      <c r="R145" s="506">
        <f t="shared" ref="R145:AB145" si="59">SUM(R135:R144)</f>
        <v>1.3479530705712417</v>
      </c>
      <c r="S145" s="506">
        <f t="shared" si="59"/>
        <v>16.018266670461223</v>
      </c>
      <c r="T145" s="506">
        <f t="shared" si="59"/>
        <v>3.9121044524661794</v>
      </c>
      <c r="U145" s="506">
        <f t="shared" si="59"/>
        <v>-336.18434509449236</v>
      </c>
      <c r="V145" s="506">
        <f t="shared" si="59"/>
        <v>-298.21896048644004</v>
      </c>
      <c r="W145" s="506">
        <f t="shared" si="59"/>
        <v>-285.45308005244624</v>
      </c>
      <c r="X145" s="506">
        <f t="shared" si="59"/>
        <v>-207.6491823236187</v>
      </c>
      <c r="Y145" s="506">
        <f t="shared" si="59"/>
        <v>-230.88079176060882</v>
      </c>
      <c r="Z145" s="506">
        <f t="shared" si="59"/>
        <v>2.7190536247722008</v>
      </c>
      <c r="AA145" s="506">
        <f t="shared" si="59"/>
        <v>10.412944753385906</v>
      </c>
      <c r="AB145" s="506">
        <f t="shared" si="59"/>
        <v>1.3769744639828394</v>
      </c>
      <c r="AC145" s="549">
        <f>SUM(AC135:AC144)</f>
        <v>-1321.1690552813566</v>
      </c>
    </row>
    <row r="146" spans="1:29" x14ac:dyDescent="0.2">
      <c r="A146" s="134" t="s">
        <v>404</v>
      </c>
      <c r="B146" s="567" t="s">
        <v>20</v>
      </c>
      <c r="C146" s="567" t="s">
        <v>21</v>
      </c>
      <c r="D146" s="567" t="s">
        <v>22</v>
      </c>
      <c r="E146" s="567" t="s">
        <v>23</v>
      </c>
      <c r="F146" s="567" t="s">
        <v>24</v>
      </c>
      <c r="G146" s="567" t="s">
        <v>25</v>
      </c>
      <c r="H146" s="567" t="s">
        <v>26</v>
      </c>
      <c r="I146" s="567" t="s">
        <v>27</v>
      </c>
      <c r="J146" s="567" t="s">
        <v>28</v>
      </c>
      <c r="K146" s="567" t="s">
        <v>29</v>
      </c>
      <c r="L146" s="567" t="s">
        <v>30</v>
      </c>
      <c r="M146" s="568" t="s">
        <v>31</v>
      </c>
      <c r="N146" s="670"/>
      <c r="P146" s="541"/>
      <c r="Q146" s="459"/>
      <c r="R146" s="459"/>
      <c r="S146" s="459"/>
      <c r="T146" s="459"/>
      <c r="U146" s="459"/>
      <c r="V146" s="459"/>
      <c r="W146" s="459"/>
      <c r="X146" s="459"/>
      <c r="Y146" s="459"/>
      <c r="Z146" s="459"/>
      <c r="AA146" s="459"/>
      <c r="AB146" s="459"/>
      <c r="AC146" s="542"/>
    </row>
    <row r="147" spans="1:29" x14ac:dyDescent="0.2">
      <c r="A147" s="501" t="str">
        <f t="shared" ref="A147:A156" si="60">P135</f>
        <v>HVC EO1</v>
      </c>
      <c r="B147" s="502">
        <f>INDEX(('INTERNA BERÄKNINGAR'!B45,'INTERNA BERÄKNINGAR'!B58,'INTERNA BERÄKNINGAR'!B71),1,1,INDATA!$J$75)</f>
        <v>338.8235294117647</v>
      </c>
      <c r="C147" s="502">
        <f>INDEX(('INTERNA BERÄKNINGAR'!C45,'INTERNA BERÄKNINGAR'!C58,'INTERNA BERÄKNINGAR'!C71),1,1,INDATA!$J$75)</f>
        <v>338.8235294117647</v>
      </c>
      <c r="D147" s="502">
        <f>INDEX(('INTERNA BERÄKNINGAR'!D45,'INTERNA BERÄKNINGAR'!D58,'INTERNA BERÄKNINGAR'!D71),1,1,INDATA!$J$75)</f>
        <v>338.8235294117647</v>
      </c>
      <c r="E147" s="502">
        <f>INDEX(('INTERNA BERÄKNINGAR'!E45,'INTERNA BERÄKNINGAR'!E58,'INTERNA BERÄKNINGAR'!E71),1,1,INDATA!$J$75)</f>
        <v>338.8235294117647</v>
      </c>
      <c r="F147" s="502">
        <f>INDEX(('INTERNA BERÄKNINGAR'!F45,'INTERNA BERÄKNINGAR'!F58,'INTERNA BERÄKNINGAR'!F71),1,1,INDATA!$J$75)</f>
        <v>338.8235294117647</v>
      </c>
      <c r="G147" s="502">
        <f>INDEX(('INTERNA BERÄKNINGAR'!G45,'INTERNA BERÄKNINGAR'!G58,'INTERNA BERÄKNINGAR'!G71),1,1,INDATA!$J$75)</f>
        <v>338.8235294117647</v>
      </c>
      <c r="H147" s="502">
        <f>INDEX(('INTERNA BERÄKNINGAR'!H45,'INTERNA BERÄKNINGAR'!H58,'INTERNA BERÄKNINGAR'!H71),1,1,INDATA!$J$75)</f>
        <v>338.8235294117647</v>
      </c>
      <c r="I147" s="502">
        <f>INDEX(('INTERNA BERÄKNINGAR'!I45,'INTERNA BERÄKNINGAR'!I58,'INTERNA BERÄKNINGAR'!I71),1,1,INDATA!$J$75)</f>
        <v>338.8235294117647</v>
      </c>
      <c r="J147" s="502">
        <f>INDEX(('INTERNA BERÄKNINGAR'!J45,'INTERNA BERÄKNINGAR'!J58,'INTERNA BERÄKNINGAR'!J71),1,1,INDATA!$J$75)</f>
        <v>338.8235294117647</v>
      </c>
      <c r="K147" s="502">
        <f>INDEX(('INTERNA BERÄKNINGAR'!K45,'INTERNA BERÄKNINGAR'!K58,'INTERNA BERÄKNINGAR'!K71),1,1,INDATA!$J$75)</f>
        <v>338.8235294117647</v>
      </c>
      <c r="L147" s="502">
        <f>INDEX(('INTERNA BERÄKNINGAR'!L45,'INTERNA BERÄKNINGAR'!L58,'INTERNA BERÄKNINGAR'!L71),1,1,INDATA!$J$75)</f>
        <v>338.8235294117647</v>
      </c>
      <c r="M147" s="502">
        <f>INDEX(('INTERNA BERÄKNINGAR'!M45,'INTERNA BERÄKNINGAR'!M58,'INTERNA BERÄKNINGAR'!M71),1,1,INDATA!$J$75)</f>
        <v>338.8235294117647</v>
      </c>
      <c r="N147" s="510"/>
      <c r="P147" s="545" t="s">
        <v>318</v>
      </c>
      <c r="Q147" s="650" t="s">
        <v>20</v>
      </c>
      <c r="R147" s="650" t="s">
        <v>21</v>
      </c>
      <c r="S147" s="650" t="s">
        <v>22</v>
      </c>
      <c r="T147" s="650" t="s">
        <v>23</v>
      </c>
      <c r="U147" s="650" t="s">
        <v>24</v>
      </c>
      <c r="V147" s="650" t="s">
        <v>25</v>
      </c>
      <c r="W147" s="650" t="s">
        <v>26</v>
      </c>
      <c r="X147" s="650" t="s">
        <v>27</v>
      </c>
      <c r="Y147" s="650" t="s">
        <v>28</v>
      </c>
      <c r="Z147" s="650" t="s">
        <v>29</v>
      </c>
      <c r="AA147" s="650" t="s">
        <v>30</v>
      </c>
      <c r="AB147" s="650" t="s">
        <v>31</v>
      </c>
      <c r="AC147" s="546" t="s">
        <v>53</v>
      </c>
    </row>
    <row r="148" spans="1:29" s="68" customFormat="1" ht="15" customHeight="1" x14ac:dyDescent="0.2">
      <c r="A148" s="501" t="str">
        <f t="shared" si="60"/>
        <v>HVC bioolja</v>
      </c>
      <c r="B148" s="502">
        <f>INDEX(('INTERNA BERÄKNINGAR'!B46,'INTERNA BERÄKNINGAR'!B59,'INTERNA BERÄKNINGAR'!B72),1,1,INDATA!$J$75)</f>
        <v>0.80000000000000016</v>
      </c>
      <c r="C148" s="502">
        <f>INDEX(('INTERNA BERÄKNINGAR'!C46,'INTERNA BERÄKNINGAR'!C59,'INTERNA BERÄKNINGAR'!C72),1,1,INDATA!$J$75)</f>
        <v>0.80000000000000016</v>
      </c>
      <c r="D148" s="502">
        <f>INDEX(('INTERNA BERÄKNINGAR'!D46,'INTERNA BERÄKNINGAR'!D59,'INTERNA BERÄKNINGAR'!D72),1,1,INDATA!$J$75)</f>
        <v>0.80000000000000016</v>
      </c>
      <c r="E148" s="502">
        <f>INDEX(('INTERNA BERÄKNINGAR'!E46,'INTERNA BERÄKNINGAR'!E59,'INTERNA BERÄKNINGAR'!E72),1,1,INDATA!$J$75)</f>
        <v>0.80000000000000016</v>
      </c>
      <c r="F148" s="502">
        <f>INDEX(('INTERNA BERÄKNINGAR'!F46,'INTERNA BERÄKNINGAR'!F59,'INTERNA BERÄKNINGAR'!F72),1,1,INDATA!$J$75)</f>
        <v>0.80000000000000016</v>
      </c>
      <c r="G148" s="502">
        <f>INDEX(('INTERNA BERÄKNINGAR'!G46,'INTERNA BERÄKNINGAR'!G59,'INTERNA BERÄKNINGAR'!G72),1,1,INDATA!$J$75)</f>
        <v>0.80000000000000016</v>
      </c>
      <c r="H148" s="502">
        <f>INDEX(('INTERNA BERÄKNINGAR'!H46,'INTERNA BERÄKNINGAR'!H59,'INTERNA BERÄKNINGAR'!H72),1,1,INDATA!$J$75)</f>
        <v>0.80000000000000016</v>
      </c>
      <c r="I148" s="502">
        <f>INDEX(('INTERNA BERÄKNINGAR'!I46,'INTERNA BERÄKNINGAR'!I59,'INTERNA BERÄKNINGAR'!I72),1,1,INDATA!$J$75)</f>
        <v>0.80000000000000016</v>
      </c>
      <c r="J148" s="502">
        <f>INDEX(('INTERNA BERÄKNINGAR'!J46,'INTERNA BERÄKNINGAR'!J59,'INTERNA BERÄKNINGAR'!J72),1,1,INDATA!$J$75)</f>
        <v>0.80000000000000016</v>
      </c>
      <c r="K148" s="502">
        <f>INDEX(('INTERNA BERÄKNINGAR'!K46,'INTERNA BERÄKNINGAR'!K59,'INTERNA BERÄKNINGAR'!K72),1,1,INDATA!$J$75)</f>
        <v>0.80000000000000016</v>
      </c>
      <c r="L148" s="502">
        <f>INDEX(('INTERNA BERÄKNINGAR'!L46,'INTERNA BERÄKNINGAR'!L59,'INTERNA BERÄKNINGAR'!L72),1,1,INDATA!$J$75)</f>
        <v>0.80000000000000016</v>
      </c>
      <c r="M148" s="502">
        <f>INDEX(('INTERNA BERÄKNINGAR'!M46,'INTERNA BERÄKNINGAR'!M59,'INTERNA BERÄKNINGAR'!M72),1,1,INDATA!$J$75)</f>
        <v>0.80000000000000016</v>
      </c>
      <c r="N148" s="510"/>
      <c r="P148" s="547" t="str">
        <f t="shared" ref="P148:P157" si="61">P135</f>
        <v>HVC EO1</v>
      </c>
      <c r="Q148" s="505">
        <f>Q122*B147/1000</f>
        <v>0</v>
      </c>
      <c r="R148" s="505">
        <f t="shared" ref="R148:AB157" si="62">R122*C147/1000</f>
        <v>0</v>
      </c>
      <c r="S148" s="505">
        <f t="shared" si="62"/>
        <v>0</v>
      </c>
      <c r="T148" s="505">
        <f t="shared" si="62"/>
        <v>0</v>
      </c>
      <c r="U148" s="505">
        <f t="shared" si="62"/>
        <v>0</v>
      </c>
      <c r="V148" s="505">
        <f t="shared" si="62"/>
        <v>0</v>
      </c>
      <c r="W148" s="505">
        <f t="shared" si="62"/>
        <v>0</v>
      </c>
      <c r="X148" s="505">
        <f t="shared" si="62"/>
        <v>0</v>
      </c>
      <c r="Y148" s="505">
        <f t="shared" si="62"/>
        <v>0</v>
      </c>
      <c r="Z148" s="505">
        <f t="shared" si="62"/>
        <v>0</v>
      </c>
      <c r="AA148" s="505">
        <f t="shared" si="62"/>
        <v>0</v>
      </c>
      <c r="AB148" s="505">
        <f t="shared" si="62"/>
        <v>0</v>
      </c>
      <c r="AC148" s="548">
        <f>SUM(Q148:AB148)</f>
        <v>0</v>
      </c>
    </row>
    <row r="149" spans="1:29" x14ac:dyDescent="0.2">
      <c r="A149" s="501" t="str">
        <f t="shared" si="60"/>
        <v>HVC pellets</v>
      </c>
      <c r="B149" s="502">
        <f>INDEX(('INTERNA BERÄKNINGAR'!B47,'INTERNA BERÄKNINGAR'!B60,'INTERNA BERÄKNINGAR'!B73),1,1,INDATA!$J$75)</f>
        <v>9.9</v>
      </c>
      <c r="C149" s="502">
        <f>INDEX(('INTERNA BERÄKNINGAR'!C47,'INTERNA BERÄKNINGAR'!C60,'INTERNA BERÄKNINGAR'!C73),1,1,INDATA!$J$75)</f>
        <v>9.9</v>
      </c>
      <c r="D149" s="502">
        <f>INDEX(('INTERNA BERÄKNINGAR'!D47,'INTERNA BERÄKNINGAR'!D60,'INTERNA BERÄKNINGAR'!D73),1,1,INDATA!$J$75)</f>
        <v>9.9</v>
      </c>
      <c r="E149" s="502">
        <f>INDEX(('INTERNA BERÄKNINGAR'!E47,'INTERNA BERÄKNINGAR'!E60,'INTERNA BERÄKNINGAR'!E73),1,1,INDATA!$J$75)</f>
        <v>9.9</v>
      </c>
      <c r="F149" s="502">
        <f>INDEX(('INTERNA BERÄKNINGAR'!F47,'INTERNA BERÄKNINGAR'!F60,'INTERNA BERÄKNINGAR'!F73),1,1,INDATA!$J$75)</f>
        <v>9.9</v>
      </c>
      <c r="G149" s="502">
        <f>INDEX(('INTERNA BERÄKNINGAR'!G47,'INTERNA BERÄKNINGAR'!G60,'INTERNA BERÄKNINGAR'!G73),1,1,INDATA!$J$75)</f>
        <v>9.9</v>
      </c>
      <c r="H149" s="502">
        <f>INDEX(('INTERNA BERÄKNINGAR'!H47,'INTERNA BERÄKNINGAR'!H60,'INTERNA BERÄKNINGAR'!H73),1,1,INDATA!$J$75)</f>
        <v>9.9</v>
      </c>
      <c r="I149" s="502">
        <f>INDEX(('INTERNA BERÄKNINGAR'!I47,'INTERNA BERÄKNINGAR'!I60,'INTERNA BERÄKNINGAR'!I73),1,1,INDATA!$J$75)</f>
        <v>9.9</v>
      </c>
      <c r="J149" s="502">
        <f>INDEX(('INTERNA BERÄKNINGAR'!J47,'INTERNA BERÄKNINGAR'!J60,'INTERNA BERÄKNINGAR'!J73),1,1,INDATA!$J$75)</f>
        <v>9.9</v>
      </c>
      <c r="K149" s="502">
        <f>INDEX(('INTERNA BERÄKNINGAR'!K47,'INTERNA BERÄKNINGAR'!K60,'INTERNA BERÄKNINGAR'!K73),1,1,INDATA!$J$75)</f>
        <v>9.9</v>
      </c>
      <c r="L149" s="502">
        <f>INDEX(('INTERNA BERÄKNINGAR'!L47,'INTERNA BERÄKNINGAR'!L60,'INTERNA BERÄKNINGAR'!L73),1,1,INDATA!$J$75)</f>
        <v>9.9</v>
      </c>
      <c r="M149" s="502">
        <f>INDEX(('INTERNA BERÄKNINGAR'!M47,'INTERNA BERÄKNINGAR'!M60,'INTERNA BERÄKNINGAR'!M73),1,1,INDATA!$J$75)</f>
        <v>9.9</v>
      </c>
      <c r="N149" s="510"/>
      <c r="P149" s="547" t="str">
        <f t="shared" si="61"/>
        <v>HVC bioolja</v>
      </c>
      <c r="Q149" s="505">
        <f t="shared" ref="Q149:Q157" si="63">Q123*B148/1000</f>
        <v>0</v>
      </c>
      <c r="R149" s="505">
        <f t="shared" si="62"/>
        <v>0</v>
      </c>
      <c r="S149" s="505">
        <f t="shared" si="62"/>
        <v>0</v>
      </c>
      <c r="T149" s="505">
        <f t="shared" si="62"/>
        <v>0</v>
      </c>
      <c r="U149" s="505">
        <f t="shared" si="62"/>
        <v>0</v>
      </c>
      <c r="V149" s="505">
        <f t="shared" si="62"/>
        <v>0</v>
      </c>
      <c r="W149" s="505">
        <f t="shared" si="62"/>
        <v>0</v>
      </c>
      <c r="X149" s="505">
        <f t="shared" si="62"/>
        <v>0</v>
      </c>
      <c r="Y149" s="505">
        <f t="shared" si="62"/>
        <v>0</v>
      </c>
      <c r="Z149" s="505">
        <f t="shared" si="62"/>
        <v>0</v>
      </c>
      <c r="AA149" s="505">
        <f t="shared" si="62"/>
        <v>0</v>
      </c>
      <c r="AB149" s="505">
        <f t="shared" si="62"/>
        <v>0</v>
      </c>
      <c r="AC149" s="548">
        <f t="shared" ref="AC149:AC157" si="64">SUM(Q149:AB149)</f>
        <v>0</v>
      </c>
    </row>
    <row r="150" spans="1:29" x14ac:dyDescent="0.2">
      <c r="A150" s="501" t="str">
        <f t="shared" si="60"/>
        <v>KVV avfall</v>
      </c>
      <c r="B150" s="502">
        <f>INDEX(('INTERNA BERÄKNINGAR'!B48,'INTERNA BERÄKNINGAR'!B61,'INTERNA BERÄKNINGAR'!B74),1,1,INDATA!$J$75)</f>
        <v>-171.20000000000002</v>
      </c>
      <c r="C150" s="502">
        <f>INDEX(('INTERNA BERÄKNINGAR'!C48,'INTERNA BERÄKNINGAR'!C61,'INTERNA BERÄKNINGAR'!C74),1,1,INDATA!$J$75)</f>
        <v>-171.20000000000002</v>
      </c>
      <c r="D150" s="502">
        <f>INDEX(('INTERNA BERÄKNINGAR'!D48,'INTERNA BERÄKNINGAR'!D61,'INTERNA BERÄKNINGAR'!D74),1,1,INDATA!$J$75)</f>
        <v>-171.20000000000002</v>
      </c>
      <c r="E150" s="502">
        <f>INDEX(('INTERNA BERÄKNINGAR'!E48,'INTERNA BERÄKNINGAR'!E61,'INTERNA BERÄKNINGAR'!E74),1,1,INDATA!$J$75)</f>
        <v>-171.20000000000002</v>
      </c>
      <c r="F150" s="502">
        <f>INDEX(('INTERNA BERÄKNINGAR'!F48,'INTERNA BERÄKNINGAR'!F61,'INTERNA BERÄKNINGAR'!F74),1,1,INDATA!$J$75)</f>
        <v>-171.20000000000002</v>
      </c>
      <c r="G150" s="502">
        <f>INDEX(('INTERNA BERÄKNINGAR'!G48,'INTERNA BERÄKNINGAR'!G61,'INTERNA BERÄKNINGAR'!G74),1,1,INDATA!$J$75)</f>
        <v>-171.20000000000002</v>
      </c>
      <c r="H150" s="502">
        <f>INDEX(('INTERNA BERÄKNINGAR'!H48,'INTERNA BERÄKNINGAR'!H61,'INTERNA BERÄKNINGAR'!H74),1,1,INDATA!$J$75)</f>
        <v>-171.20000000000002</v>
      </c>
      <c r="I150" s="502">
        <f>INDEX(('INTERNA BERÄKNINGAR'!I48,'INTERNA BERÄKNINGAR'!I61,'INTERNA BERÄKNINGAR'!I74),1,1,INDATA!$J$75)</f>
        <v>-171.20000000000002</v>
      </c>
      <c r="J150" s="502">
        <f>INDEX(('INTERNA BERÄKNINGAR'!J48,'INTERNA BERÄKNINGAR'!J61,'INTERNA BERÄKNINGAR'!J74),1,1,INDATA!$J$75)</f>
        <v>-171.20000000000002</v>
      </c>
      <c r="K150" s="502">
        <f>INDEX(('INTERNA BERÄKNINGAR'!K48,'INTERNA BERÄKNINGAR'!K61,'INTERNA BERÄKNINGAR'!K74),1,1,INDATA!$J$75)</f>
        <v>-171.20000000000002</v>
      </c>
      <c r="L150" s="502">
        <f>INDEX(('INTERNA BERÄKNINGAR'!L48,'INTERNA BERÄKNINGAR'!L61,'INTERNA BERÄKNINGAR'!L74),1,1,INDATA!$J$75)</f>
        <v>-171.20000000000002</v>
      </c>
      <c r="M150" s="502">
        <f>INDEX(('INTERNA BERÄKNINGAR'!M48,'INTERNA BERÄKNINGAR'!M61,'INTERNA BERÄKNINGAR'!M74),1,1,INDATA!$J$75)</f>
        <v>-171.20000000000002</v>
      </c>
      <c r="N150" s="510"/>
      <c r="P150" s="547" t="str">
        <f t="shared" si="61"/>
        <v>HVC pellets</v>
      </c>
      <c r="Q150" s="505">
        <f t="shared" si="63"/>
        <v>0.87494763860876901</v>
      </c>
      <c r="R150" s="505">
        <f t="shared" si="62"/>
        <v>0.81997173152737046</v>
      </c>
      <c r="S150" s="505">
        <f t="shared" si="62"/>
        <v>0</v>
      </c>
      <c r="T150" s="505">
        <f t="shared" si="62"/>
        <v>0</v>
      </c>
      <c r="U150" s="505">
        <f t="shared" si="62"/>
        <v>0</v>
      </c>
      <c r="V150" s="505">
        <f t="shared" si="62"/>
        <v>0</v>
      </c>
      <c r="W150" s="505">
        <f t="shared" si="62"/>
        <v>0</v>
      </c>
      <c r="X150" s="505">
        <f t="shared" si="62"/>
        <v>0</v>
      </c>
      <c r="Y150" s="505">
        <f t="shared" si="62"/>
        <v>0</v>
      </c>
      <c r="Z150" s="505">
        <f t="shared" si="62"/>
        <v>0</v>
      </c>
      <c r="AA150" s="505">
        <f t="shared" si="62"/>
        <v>0</v>
      </c>
      <c r="AB150" s="505">
        <f t="shared" si="62"/>
        <v>0.82020100312472466</v>
      </c>
      <c r="AC150" s="548">
        <f t="shared" si="64"/>
        <v>2.5151203732608645</v>
      </c>
    </row>
    <row r="151" spans="1:29" x14ac:dyDescent="0.2">
      <c r="A151" s="501" t="str">
        <f t="shared" si="60"/>
        <v>KVV grot</v>
      </c>
      <c r="B151" s="502">
        <f>INDEX(('INTERNA BERÄKNINGAR'!B49,'INTERNA BERÄKNINGAR'!B62,'INTERNA BERÄKNINGAR'!B75),1,1,INDATA!$J$75)</f>
        <v>-343.04</v>
      </c>
      <c r="C151" s="502">
        <f>INDEX(('INTERNA BERÄKNINGAR'!C49,'INTERNA BERÄKNINGAR'!C62,'INTERNA BERÄKNINGAR'!C75),1,1,INDATA!$J$75)</f>
        <v>-343.04</v>
      </c>
      <c r="D151" s="502">
        <f>INDEX(('INTERNA BERÄKNINGAR'!D49,'INTERNA BERÄKNINGAR'!D62,'INTERNA BERÄKNINGAR'!D75),1,1,INDATA!$J$75)</f>
        <v>-343.04</v>
      </c>
      <c r="E151" s="502">
        <f>INDEX(('INTERNA BERÄKNINGAR'!E49,'INTERNA BERÄKNINGAR'!E62,'INTERNA BERÄKNINGAR'!E75),1,1,INDATA!$J$75)</f>
        <v>-343.04</v>
      </c>
      <c r="F151" s="502">
        <f>INDEX(('INTERNA BERÄKNINGAR'!F49,'INTERNA BERÄKNINGAR'!F62,'INTERNA BERÄKNINGAR'!F75),1,1,INDATA!$J$75)</f>
        <v>-343.04</v>
      </c>
      <c r="G151" s="502">
        <f>INDEX(('INTERNA BERÄKNINGAR'!G49,'INTERNA BERÄKNINGAR'!G62,'INTERNA BERÄKNINGAR'!G75),1,1,INDATA!$J$75)</f>
        <v>-343.04</v>
      </c>
      <c r="H151" s="502">
        <f>INDEX(('INTERNA BERÄKNINGAR'!H49,'INTERNA BERÄKNINGAR'!H62,'INTERNA BERÄKNINGAR'!H75),1,1,INDATA!$J$75)</f>
        <v>-343.04</v>
      </c>
      <c r="I151" s="502">
        <f>INDEX(('INTERNA BERÄKNINGAR'!I49,'INTERNA BERÄKNINGAR'!I62,'INTERNA BERÄKNINGAR'!I75),1,1,INDATA!$J$75)</f>
        <v>-343.04</v>
      </c>
      <c r="J151" s="502">
        <f>INDEX(('INTERNA BERÄKNINGAR'!J49,'INTERNA BERÄKNINGAR'!J62,'INTERNA BERÄKNINGAR'!J75),1,1,INDATA!$J$75)</f>
        <v>-343.04</v>
      </c>
      <c r="K151" s="502">
        <f>INDEX(('INTERNA BERÄKNINGAR'!K49,'INTERNA BERÄKNINGAR'!K62,'INTERNA BERÄKNINGAR'!K75),1,1,INDATA!$J$75)</f>
        <v>-343.04</v>
      </c>
      <c r="L151" s="502">
        <f>INDEX(('INTERNA BERÄKNINGAR'!L49,'INTERNA BERÄKNINGAR'!L62,'INTERNA BERÄKNINGAR'!L75),1,1,INDATA!$J$75)</f>
        <v>-343.04</v>
      </c>
      <c r="M151" s="502">
        <f>INDEX(('INTERNA BERÄKNINGAR'!M49,'INTERNA BERÄKNINGAR'!M62,'INTERNA BERÄKNINGAR'!M75),1,1,INDATA!$J$75)</f>
        <v>-343.04</v>
      </c>
      <c r="N151" s="510"/>
      <c r="P151" s="547" t="str">
        <f t="shared" si="61"/>
        <v>KVV avfall</v>
      </c>
      <c r="Q151" s="505">
        <f t="shared" si="63"/>
        <v>0</v>
      </c>
      <c r="R151" s="505">
        <f t="shared" si="62"/>
        <v>0</v>
      </c>
      <c r="S151" s="505">
        <f t="shared" si="62"/>
        <v>0</v>
      </c>
      <c r="T151" s="505">
        <f t="shared" si="62"/>
        <v>0</v>
      </c>
      <c r="U151" s="505">
        <f t="shared" si="62"/>
        <v>-24.401726252839595</v>
      </c>
      <c r="V151" s="505">
        <f t="shared" si="62"/>
        <v>-29.271893268575109</v>
      </c>
      <c r="W151" s="505">
        <f t="shared" si="62"/>
        <v>-22.887516568907081</v>
      </c>
      <c r="X151" s="505">
        <f t="shared" si="62"/>
        <v>-27.853844233495224</v>
      </c>
      <c r="Y151" s="505">
        <f t="shared" si="62"/>
        <v>-20.865775911645798</v>
      </c>
      <c r="Z151" s="505">
        <f t="shared" si="62"/>
        <v>0</v>
      </c>
      <c r="AA151" s="505">
        <f t="shared" si="62"/>
        <v>0</v>
      </c>
      <c r="AB151" s="505">
        <f t="shared" si="62"/>
        <v>0</v>
      </c>
      <c r="AC151" s="548">
        <f t="shared" si="64"/>
        <v>-125.2807562354628</v>
      </c>
    </row>
    <row r="152" spans="1:29" x14ac:dyDescent="0.2">
      <c r="A152" s="501" t="str">
        <f t="shared" si="60"/>
        <v>Värmepump COP3</v>
      </c>
      <c r="B152" s="502">
        <f>INDEX(('INTERNA BERÄKNINGAR'!B50,'INTERNA BERÄKNINGAR'!B63,'INTERNA BERÄKNINGAR'!B76),1,1,INDATA!$J$75)</f>
        <v>294.66666666666663</v>
      </c>
      <c r="C152" s="502">
        <f>INDEX(('INTERNA BERÄKNINGAR'!C50,'INTERNA BERÄKNINGAR'!C63,'INTERNA BERÄKNINGAR'!C76),1,1,INDATA!$J$75)</f>
        <v>294.66666666666663</v>
      </c>
      <c r="D152" s="502">
        <f>INDEX(('INTERNA BERÄKNINGAR'!D50,'INTERNA BERÄKNINGAR'!D63,'INTERNA BERÄKNINGAR'!D76),1,1,INDATA!$J$75)</f>
        <v>294.66666666666663</v>
      </c>
      <c r="E152" s="502">
        <f>INDEX(('INTERNA BERÄKNINGAR'!E50,'INTERNA BERÄKNINGAR'!E63,'INTERNA BERÄKNINGAR'!E76),1,1,INDATA!$J$75)</f>
        <v>294.66666666666663</v>
      </c>
      <c r="F152" s="502">
        <f>INDEX(('INTERNA BERÄKNINGAR'!F50,'INTERNA BERÄKNINGAR'!F63,'INTERNA BERÄKNINGAR'!F76),1,1,INDATA!$J$75)</f>
        <v>294.66666666666663</v>
      </c>
      <c r="G152" s="502">
        <f>INDEX(('INTERNA BERÄKNINGAR'!G50,'INTERNA BERÄKNINGAR'!G63,'INTERNA BERÄKNINGAR'!G76),1,1,INDATA!$J$75)</f>
        <v>294.66666666666663</v>
      </c>
      <c r="H152" s="502">
        <f>INDEX(('INTERNA BERÄKNINGAR'!H50,'INTERNA BERÄKNINGAR'!H63,'INTERNA BERÄKNINGAR'!H76),1,1,INDATA!$J$75)</f>
        <v>294.66666666666663</v>
      </c>
      <c r="I152" s="502">
        <f>INDEX(('INTERNA BERÄKNINGAR'!I50,'INTERNA BERÄKNINGAR'!I63,'INTERNA BERÄKNINGAR'!I76),1,1,INDATA!$J$75)</f>
        <v>294.66666666666663</v>
      </c>
      <c r="J152" s="502">
        <f>INDEX(('INTERNA BERÄKNINGAR'!J50,'INTERNA BERÄKNINGAR'!J63,'INTERNA BERÄKNINGAR'!J76),1,1,INDATA!$J$75)</f>
        <v>294.66666666666663</v>
      </c>
      <c r="K152" s="502">
        <f>INDEX(('INTERNA BERÄKNINGAR'!K50,'INTERNA BERÄKNINGAR'!K63,'INTERNA BERÄKNINGAR'!K76),1,1,INDATA!$J$75)</f>
        <v>294.66666666666663</v>
      </c>
      <c r="L152" s="502">
        <f>INDEX(('INTERNA BERÄKNINGAR'!L50,'INTERNA BERÄKNINGAR'!L63,'INTERNA BERÄKNINGAR'!L76),1,1,INDATA!$J$75)</f>
        <v>294.66666666666663</v>
      </c>
      <c r="M152" s="502">
        <f>INDEX(('INTERNA BERÄKNINGAR'!M50,'INTERNA BERÄKNINGAR'!M63,'INTERNA BERÄKNINGAR'!M76),1,1,INDATA!$J$75)</f>
        <v>294.66666666666663</v>
      </c>
      <c r="N152" s="510"/>
      <c r="P152" s="547" t="str">
        <f t="shared" si="61"/>
        <v>KVV grot</v>
      </c>
      <c r="Q152" s="505">
        <f t="shared" si="63"/>
        <v>0</v>
      </c>
      <c r="R152" s="505">
        <f t="shared" si="62"/>
        <v>0</v>
      </c>
      <c r="S152" s="505">
        <f t="shared" si="62"/>
        <v>0</v>
      </c>
      <c r="T152" s="505">
        <f t="shared" si="62"/>
        <v>-62.800732122358916</v>
      </c>
      <c r="U152" s="505">
        <f t="shared" si="62"/>
        <v>-48.894673912231859</v>
      </c>
      <c r="V152" s="505">
        <f t="shared" si="62"/>
        <v>0</v>
      </c>
      <c r="W152" s="505">
        <f t="shared" si="62"/>
        <v>0</v>
      </c>
      <c r="X152" s="505">
        <f t="shared" si="62"/>
        <v>0</v>
      </c>
      <c r="Y152" s="505">
        <f t="shared" si="62"/>
        <v>-41.809554723895879</v>
      </c>
      <c r="Z152" s="505">
        <f t="shared" si="62"/>
        <v>-58.455830011604846</v>
      </c>
      <c r="AA152" s="505">
        <f t="shared" si="62"/>
        <v>0</v>
      </c>
      <c r="AB152" s="505">
        <f t="shared" si="62"/>
        <v>0</v>
      </c>
      <c r="AC152" s="548">
        <f t="shared" si="64"/>
        <v>-211.96079077009148</v>
      </c>
    </row>
    <row r="153" spans="1:29" x14ac:dyDescent="0.2">
      <c r="A153" s="501" t="str">
        <f t="shared" si="60"/>
        <v>Spillvärme industri</v>
      </c>
      <c r="B153" s="502">
        <f>INDEX(('INTERNA BERÄKNINGAR'!B51,'INTERNA BERÄKNINGAR'!B64,'INTERNA BERÄKNINGAR'!B77),1,1,INDATA!$J$75)</f>
        <v>0</v>
      </c>
      <c r="C153" s="502">
        <f>INDEX(('INTERNA BERÄKNINGAR'!C51,'INTERNA BERÄKNINGAR'!C64,'INTERNA BERÄKNINGAR'!C77),1,1,INDATA!$J$75)</f>
        <v>0</v>
      </c>
      <c r="D153" s="502">
        <f>INDEX(('INTERNA BERÄKNINGAR'!D51,'INTERNA BERÄKNINGAR'!D64,'INTERNA BERÄKNINGAR'!D77),1,1,INDATA!$J$75)</f>
        <v>0</v>
      </c>
      <c r="E153" s="502">
        <f>INDEX(('INTERNA BERÄKNINGAR'!E51,'INTERNA BERÄKNINGAR'!E64,'INTERNA BERÄKNINGAR'!E77),1,1,INDATA!$J$75)</f>
        <v>0</v>
      </c>
      <c r="F153" s="502">
        <f>INDEX(('INTERNA BERÄKNINGAR'!F51,'INTERNA BERÄKNINGAR'!F64,'INTERNA BERÄKNINGAR'!F77),1,1,INDATA!$J$75)</f>
        <v>0</v>
      </c>
      <c r="G153" s="502">
        <f>INDEX(('INTERNA BERÄKNINGAR'!G51,'INTERNA BERÄKNINGAR'!G64,'INTERNA BERÄKNINGAR'!G77),1,1,INDATA!$J$75)</f>
        <v>0</v>
      </c>
      <c r="H153" s="502">
        <f>INDEX(('INTERNA BERÄKNINGAR'!H51,'INTERNA BERÄKNINGAR'!H64,'INTERNA BERÄKNINGAR'!H77),1,1,INDATA!$J$75)</f>
        <v>0</v>
      </c>
      <c r="I153" s="502">
        <f>INDEX(('INTERNA BERÄKNINGAR'!I51,'INTERNA BERÄKNINGAR'!I64,'INTERNA BERÄKNINGAR'!I77),1,1,INDATA!$J$75)</f>
        <v>0</v>
      </c>
      <c r="J153" s="502">
        <f>INDEX(('INTERNA BERÄKNINGAR'!J51,'INTERNA BERÄKNINGAR'!J64,'INTERNA BERÄKNINGAR'!J77),1,1,INDATA!$J$75)</f>
        <v>0</v>
      </c>
      <c r="K153" s="502">
        <f>INDEX(('INTERNA BERÄKNINGAR'!K51,'INTERNA BERÄKNINGAR'!K64,'INTERNA BERÄKNINGAR'!K77),1,1,INDATA!$J$75)</f>
        <v>0</v>
      </c>
      <c r="L153" s="502">
        <f>INDEX(('INTERNA BERÄKNINGAR'!L51,'INTERNA BERÄKNINGAR'!L64,'INTERNA BERÄKNINGAR'!L77),1,1,INDATA!$J$75)</f>
        <v>0</v>
      </c>
      <c r="M153" s="502">
        <f>INDEX(('INTERNA BERÄKNINGAR'!M51,'INTERNA BERÄKNINGAR'!M64,'INTERNA BERÄKNINGAR'!M77),1,1,INDATA!$J$75)</f>
        <v>0</v>
      </c>
      <c r="N153" s="510"/>
      <c r="P153" s="547" t="str">
        <f t="shared" si="61"/>
        <v>Värmepump COP3</v>
      </c>
      <c r="Q153" s="505">
        <f t="shared" si="63"/>
        <v>0</v>
      </c>
      <c r="R153" s="505">
        <f t="shared" si="62"/>
        <v>0</v>
      </c>
      <c r="S153" s="505">
        <f t="shared" si="62"/>
        <v>75.764945274386946</v>
      </c>
      <c r="T153" s="505">
        <f t="shared" si="62"/>
        <v>80.9174545186644</v>
      </c>
      <c r="U153" s="505">
        <f t="shared" si="62"/>
        <v>0</v>
      </c>
      <c r="V153" s="505">
        <f t="shared" si="62"/>
        <v>0</v>
      </c>
      <c r="W153" s="505">
        <f t="shared" si="62"/>
        <v>0</v>
      </c>
      <c r="X153" s="505">
        <f t="shared" si="62"/>
        <v>0</v>
      </c>
      <c r="Y153" s="505">
        <f t="shared" si="62"/>
        <v>0</v>
      </c>
      <c r="Z153" s="505">
        <f t="shared" si="62"/>
        <v>75.319137316724976</v>
      </c>
      <c r="AA153" s="505">
        <f t="shared" si="62"/>
        <v>66.029960721491435</v>
      </c>
      <c r="AB153" s="505">
        <f t="shared" si="62"/>
        <v>0</v>
      </c>
      <c r="AC153" s="548">
        <f t="shared" si="64"/>
        <v>298.03149783126776</v>
      </c>
    </row>
    <row r="154" spans="1:29" x14ac:dyDescent="0.2">
      <c r="A154" s="501" t="str">
        <f t="shared" si="60"/>
        <v>HVC Gas</v>
      </c>
      <c r="B154" s="502">
        <f>INDEX(('INTERNA BERÄKNINGAR'!B52,'INTERNA BERÄKNINGAR'!B65,'INTERNA BERÄKNINGAR'!B78),1,1,INDATA!$J$75)</f>
        <v>276</v>
      </c>
      <c r="C154" s="502">
        <f>INDEX(('INTERNA BERÄKNINGAR'!C52,'INTERNA BERÄKNINGAR'!C65,'INTERNA BERÄKNINGAR'!C78),1,1,INDATA!$J$75)</f>
        <v>276</v>
      </c>
      <c r="D154" s="502">
        <f>INDEX(('INTERNA BERÄKNINGAR'!D52,'INTERNA BERÄKNINGAR'!D65,'INTERNA BERÄKNINGAR'!D78),1,1,INDATA!$J$75)</f>
        <v>276</v>
      </c>
      <c r="E154" s="502">
        <f>INDEX(('INTERNA BERÄKNINGAR'!E52,'INTERNA BERÄKNINGAR'!E65,'INTERNA BERÄKNINGAR'!E78),1,1,INDATA!$J$75)</f>
        <v>276</v>
      </c>
      <c r="F154" s="502">
        <f>INDEX(('INTERNA BERÄKNINGAR'!F52,'INTERNA BERÄKNINGAR'!F65,'INTERNA BERÄKNINGAR'!F78),1,1,INDATA!$J$75)</f>
        <v>276</v>
      </c>
      <c r="G154" s="502">
        <f>INDEX(('INTERNA BERÄKNINGAR'!G52,'INTERNA BERÄKNINGAR'!G65,'INTERNA BERÄKNINGAR'!G78),1,1,INDATA!$J$75)</f>
        <v>276</v>
      </c>
      <c r="H154" s="502">
        <f>INDEX(('INTERNA BERÄKNINGAR'!H52,'INTERNA BERÄKNINGAR'!H65,'INTERNA BERÄKNINGAR'!H78),1,1,INDATA!$J$75)</f>
        <v>276</v>
      </c>
      <c r="I154" s="502">
        <f>INDEX(('INTERNA BERÄKNINGAR'!I52,'INTERNA BERÄKNINGAR'!I65,'INTERNA BERÄKNINGAR'!I78),1,1,INDATA!$J$75)</f>
        <v>276</v>
      </c>
      <c r="J154" s="502">
        <f>INDEX(('INTERNA BERÄKNINGAR'!J52,'INTERNA BERÄKNINGAR'!J65,'INTERNA BERÄKNINGAR'!J78),1,1,INDATA!$J$75)</f>
        <v>276</v>
      </c>
      <c r="K154" s="502">
        <f>INDEX(('INTERNA BERÄKNINGAR'!K52,'INTERNA BERÄKNINGAR'!K65,'INTERNA BERÄKNINGAR'!K78),1,1,INDATA!$J$75)</f>
        <v>276</v>
      </c>
      <c r="L154" s="502">
        <f>INDEX(('INTERNA BERÄKNINGAR'!L52,'INTERNA BERÄKNINGAR'!L65,'INTERNA BERÄKNINGAR'!L78),1,1,INDATA!$J$75)</f>
        <v>276</v>
      </c>
      <c r="M154" s="502">
        <f>INDEX(('INTERNA BERÄKNINGAR'!M52,'INTERNA BERÄKNINGAR'!M65,'INTERNA BERÄKNINGAR'!M78),1,1,INDATA!$J$75)</f>
        <v>276</v>
      </c>
      <c r="N154" s="510"/>
      <c r="P154" s="547" t="str">
        <f t="shared" si="61"/>
        <v>Spillvärme industri</v>
      </c>
      <c r="Q154" s="505">
        <f t="shared" si="63"/>
        <v>0</v>
      </c>
      <c r="R154" s="505">
        <f t="shared" si="62"/>
        <v>0</v>
      </c>
      <c r="S154" s="505">
        <f t="shared" si="62"/>
        <v>0</v>
      </c>
      <c r="T154" s="505">
        <f t="shared" si="62"/>
        <v>0</v>
      </c>
      <c r="U154" s="505">
        <f t="shared" si="62"/>
        <v>0</v>
      </c>
      <c r="V154" s="505">
        <f t="shared" si="62"/>
        <v>0</v>
      </c>
      <c r="W154" s="505">
        <f t="shared" si="62"/>
        <v>0</v>
      </c>
      <c r="X154" s="505">
        <f t="shared" si="62"/>
        <v>0</v>
      </c>
      <c r="Y154" s="505">
        <f t="shared" si="62"/>
        <v>0</v>
      </c>
      <c r="Z154" s="505">
        <f t="shared" si="62"/>
        <v>0</v>
      </c>
      <c r="AA154" s="505">
        <f t="shared" si="62"/>
        <v>0</v>
      </c>
      <c r="AB154" s="505">
        <f t="shared" si="62"/>
        <v>0</v>
      </c>
      <c r="AC154" s="548">
        <f t="shared" si="64"/>
        <v>0</v>
      </c>
    </row>
    <row r="155" spans="1:29" x14ac:dyDescent="0.2">
      <c r="A155" s="501" t="str">
        <f t="shared" si="60"/>
        <v>KVV Gas</v>
      </c>
      <c r="B155" s="502">
        <f>INDEX(('INTERNA BERÄKNINGAR'!B53,'INTERNA BERÄKNINGAR'!B66,'INTERNA BERÄKNINGAR'!B79),1,1,INDATA!$J$75)</f>
        <v>-37.454545454545553</v>
      </c>
      <c r="C155" s="502">
        <f>INDEX(('INTERNA BERÄKNINGAR'!C53,'INTERNA BERÄKNINGAR'!C66,'INTERNA BERÄKNINGAR'!C79),1,1,INDATA!$J$75)</f>
        <v>-37.454545454545553</v>
      </c>
      <c r="D155" s="502">
        <f>INDEX(('INTERNA BERÄKNINGAR'!D53,'INTERNA BERÄKNINGAR'!D66,'INTERNA BERÄKNINGAR'!D79),1,1,INDATA!$J$75)</f>
        <v>-37.454545454545553</v>
      </c>
      <c r="E155" s="502">
        <f>INDEX(('INTERNA BERÄKNINGAR'!E53,'INTERNA BERÄKNINGAR'!E66,'INTERNA BERÄKNINGAR'!E79),1,1,INDATA!$J$75)</f>
        <v>-37.454545454545553</v>
      </c>
      <c r="F155" s="502">
        <f>INDEX(('INTERNA BERÄKNINGAR'!F53,'INTERNA BERÄKNINGAR'!F66,'INTERNA BERÄKNINGAR'!F79),1,1,INDATA!$J$75)</f>
        <v>-37.454545454545553</v>
      </c>
      <c r="G155" s="502">
        <f>INDEX(('INTERNA BERÄKNINGAR'!G53,'INTERNA BERÄKNINGAR'!G66,'INTERNA BERÄKNINGAR'!G79),1,1,INDATA!$J$75)</f>
        <v>-37.454545454545553</v>
      </c>
      <c r="H155" s="502">
        <f>INDEX(('INTERNA BERÄKNINGAR'!H53,'INTERNA BERÄKNINGAR'!H66,'INTERNA BERÄKNINGAR'!H79),1,1,INDATA!$J$75)</f>
        <v>-37.454545454545553</v>
      </c>
      <c r="I155" s="502">
        <f>INDEX(('INTERNA BERÄKNINGAR'!I53,'INTERNA BERÄKNINGAR'!I66,'INTERNA BERÄKNINGAR'!I79),1,1,INDATA!$J$75)</f>
        <v>-37.454545454545553</v>
      </c>
      <c r="J155" s="502">
        <f>INDEX(('INTERNA BERÄKNINGAR'!J53,'INTERNA BERÄKNINGAR'!J66,'INTERNA BERÄKNINGAR'!J79),1,1,INDATA!$J$75)</f>
        <v>-37.454545454545553</v>
      </c>
      <c r="K155" s="502">
        <f>INDEX(('INTERNA BERÄKNINGAR'!K53,'INTERNA BERÄKNINGAR'!K66,'INTERNA BERÄKNINGAR'!K79),1,1,INDATA!$J$75)</f>
        <v>-37.454545454545553</v>
      </c>
      <c r="L155" s="502">
        <f>INDEX(('INTERNA BERÄKNINGAR'!L53,'INTERNA BERÄKNINGAR'!L66,'INTERNA BERÄKNINGAR'!L79),1,1,INDATA!$J$75)</f>
        <v>-37.454545454545553</v>
      </c>
      <c r="M155" s="502">
        <f>INDEX(('INTERNA BERÄKNINGAR'!M53,'INTERNA BERÄKNINGAR'!M66,'INTERNA BERÄKNINGAR'!M79),1,1,INDATA!$J$75)</f>
        <v>-37.454545454545553</v>
      </c>
      <c r="N155" s="510"/>
      <c r="P155" s="547" t="str">
        <f t="shared" si="61"/>
        <v>HVC Gas</v>
      </c>
      <c r="Q155" s="505">
        <f t="shared" si="63"/>
        <v>24.392479621820229</v>
      </c>
      <c r="R155" s="505">
        <f t="shared" si="62"/>
        <v>22.859817969853964</v>
      </c>
      <c r="S155" s="505">
        <f t="shared" si="62"/>
        <v>0</v>
      </c>
      <c r="T155" s="505">
        <f t="shared" si="62"/>
        <v>0</v>
      </c>
      <c r="U155" s="505">
        <f t="shared" si="62"/>
        <v>0</v>
      </c>
      <c r="V155" s="505">
        <f t="shared" si="62"/>
        <v>0</v>
      </c>
      <c r="W155" s="505">
        <f t="shared" si="62"/>
        <v>0</v>
      </c>
      <c r="X155" s="505">
        <f t="shared" si="62"/>
        <v>0</v>
      </c>
      <c r="Y155" s="505">
        <f t="shared" si="62"/>
        <v>0</v>
      </c>
      <c r="Z155" s="505">
        <f t="shared" si="62"/>
        <v>0</v>
      </c>
      <c r="AA155" s="505">
        <f t="shared" si="62"/>
        <v>0</v>
      </c>
      <c r="AB155" s="505">
        <f t="shared" si="62"/>
        <v>22.866209784083235</v>
      </c>
      <c r="AC155" s="548">
        <f t="shared" si="64"/>
        <v>70.118507375757432</v>
      </c>
    </row>
    <row r="156" spans="1:29" s="296" customFormat="1" x14ac:dyDescent="0.2">
      <c r="A156" s="503" t="str">
        <f t="shared" si="60"/>
        <v>Valfri 3</v>
      </c>
      <c r="B156" s="504">
        <f>INDEX(('INTERNA BERÄKNINGAR'!B54,'INTERNA BERÄKNINGAR'!B67,'INTERNA BERÄKNINGAR'!B80),1,1,INDATA!$J$75)</f>
        <v>0</v>
      </c>
      <c r="C156" s="504">
        <f>INDEX(('INTERNA BERÄKNINGAR'!C54,'INTERNA BERÄKNINGAR'!C67,'INTERNA BERÄKNINGAR'!C80),1,1,INDATA!$J$75)</f>
        <v>0</v>
      </c>
      <c r="D156" s="504">
        <f>INDEX(('INTERNA BERÄKNINGAR'!D54,'INTERNA BERÄKNINGAR'!D67,'INTERNA BERÄKNINGAR'!D80),1,1,INDATA!$J$75)</f>
        <v>0</v>
      </c>
      <c r="E156" s="504">
        <f>INDEX(('INTERNA BERÄKNINGAR'!E54,'INTERNA BERÄKNINGAR'!E67,'INTERNA BERÄKNINGAR'!E80),1,1,INDATA!$J$75)</f>
        <v>0</v>
      </c>
      <c r="F156" s="504">
        <f>INDEX(('INTERNA BERÄKNINGAR'!F54,'INTERNA BERÄKNINGAR'!F67,'INTERNA BERÄKNINGAR'!F80),1,1,INDATA!$J$75)</f>
        <v>0</v>
      </c>
      <c r="G156" s="504">
        <f>INDEX(('INTERNA BERÄKNINGAR'!G54,'INTERNA BERÄKNINGAR'!G67,'INTERNA BERÄKNINGAR'!G80),1,1,INDATA!$J$75)</f>
        <v>0</v>
      </c>
      <c r="H156" s="504">
        <f>INDEX(('INTERNA BERÄKNINGAR'!H54,'INTERNA BERÄKNINGAR'!H67,'INTERNA BERÄKNINGAR'!H80),1,1,INDATA!$J$75)</f>
        <v>0</v>
      </c>
      <c r="I156" s="504">
        <f>INDEX(('INTERNA BERÄKNINGAR'!I54,'INTERNA BERÄKNINGAR'!I67,'INTERNA BERÄKNINGAR'!I80),1,1,INDATA!$J$75)</f>
        <v>0</v>
      </c>
      <c r="J156" s="504">
        <f>INDEX(('INTERNA BERÄKNINGAR'!J54,'INTERNA BERÄKNINGAR'!J67,'INTERNA BERÄKNINGAR'!J80),1,1,INDATA!$J$75)</f>
        <v>0</v>
      </c>
      <c r="K156" s="504">
        <f>INDEX(('INTERNA BERÄKNINGAR'!K54,'INTERNA BERÄKNINGAR'!K67,'INTERNA BERÄKNINGAR'!K80),1,1,INDATA!$J$75)</f>
        <v>0</v>
      </c>
      <c r="L156" s="504">
        <f>INDEX(('INTERNA BERÄKNINGAR'!L54,'INTERNA BERÄKNINGAR'!L67,'INTERNA BERÄKNINGAR'!L80),1,1,INDATA!$J$75)</f>
        <v>0</v>
      </c>
      <c r="M156" s="504">
        <f>INDEX(('INTERNA BERÄKNINGAR'!M54,'INTERNA BERÄKNINGAR'!M67,'INTERNA BERÄKNINGAR'!M80),1,1,INDATA!$J$75)</f>
        <v>0</v>
      </c>
      <c r="N156" s="511"/>
      <c r="P156" s="547" t="str">
        <f t="shared" si="61"/>
        <v>KVV Gas</v>
      </c>
      <c r="Q156" s="505">
        <f t="shared" si="63"/>
        <v>-20.964463162012436</v>
      </c>
      <c r="R156" s="505">
        <f t="shared" si="62"/>
        <v>-19.64719533026101</v>
      </c>
      <c r="S156" s="505">
        <f t="shared" si="62"/>
        <v>-14.445517126564559</v>
      </c>
      <c r="T156" s="505">
        <f t="shared" si="62"/>
        <v>0</v>
      </c>
      <c r="U156" s="505">
        <f t="shared" si="62"/>
        <v>0</v>
      </c>
      <c r="V156" s="505">
        <f t="shared" si="62"/>
        <v>0</v>
      </c>
      <c r="W156" s="505">
        <f t="shared" si="62"/>
        <v>0</v>
      </c>
      <c r="X156" s="505">
        <f t="shared" si="62"/>
        <v>0</v>
      </c>
      <c r="Y156" s="505">
        <f t="shared" si="62"/>
        <v>0</v>
      </c>
      <c r="Z156" s="505">
        <f t="shared" si="62"/>
        <v>0</v>
      </c>
      <c r="AA156" s="505">
        <f t="shared" si="62"/>
        <v>-12.589422786676824</v>
      </c>
      <c r="AB156" s="505">
        <f t="shared" si="62"/>
        <v>-19.652688865810717</v>
      </c>
      <c r="AC156" s="548">
        <f t="shared" si="64"/>
        <v>-87.299287271325554</v>
      </c>
    </row>
    <row r="157" spans="1:29" x14ac:dyDescent="0.2">
      <c r="A157" s="296"/>
      <c r="B157" s="296"/>
      <c r="C157" s="296"/>
      <c r="D157" s="296"/>
      <c r="E157" s="296"/>
      <c r="F157" s="296"/>
      <c r="G157" s="296"/>
      <c r="H157" s="296"/>
      <c r="I157" s="296"/>
      <c r="J157" s="296"/>
      <c r="K157" s="296"/>
      <c r="L157" s="296"/>
      <c r="M157" s="296"/>
      <c r="N157" s="26"/>
      <c r="P157" s="547" t="str">
        <f t="shared" si="61"/>
        <v>Valfri 3</v>
      </c>
      <c r="Q157" s="505">
        <f t="shared" si="63"/>
        <v>0</v>
      </c>
      <c r="R157" s="505">
        <f t="shared" si="62"/>
        <v>0</v>
      </c>
      <c r="S157" s="505">
        <f t="shared" si="62"/>
        <v>0</v>
      </c>
      <c r="T157" s="505">
        <f t="shared" si="62"/>
        <v>0</v>
      </c>
      <c r="U157" s="505">
        <f t="shared" si="62"/>
        <v>0</v>
      </c>
      <c r="V157" s="505">
        <f t="shared" si="62"/>
        <v>0</v>
      </c>
      <c r="W157" s="505">
        <f t="shared" si="62"/>
        <v>0</v>
      </c>
      <c r="X157" s="505">
        <f t="shared" si="62"/>
        <v>0</v>
      </c>
      <c r="Y157" s="505">
        <f t="shared" si="62"/>
        <v>0</v>
      </c>
      <c r="Z157" s="505">
        <f t="shared" si="62"/>
        <v>0</v>
      </c>
      <c r="AA157" s="505">
        <f t="shared" si="62"/>
        <v>0</v>
      </c>
      <c r="AB157" s="505">
        <f t="shared" si="62"/>
        <v>0</v>
      </c>
      <c r="AC157" s="548">
        <f t="shared" si="64"/>
        <v>0</v>
      </c>
    </row>
    <row r="158" spans="1:29" x14ac:dyDescent="0.2">
      <c r="A158" s="436" t="s">
        <v>368</v>
      </c>
      <c r="B158" s="438"/>
      <c r="C158" s="438"/>
      <c r="D158" s="438"/>
      <c r="E158" s="438"/>
      <c r="F158" s="438"/>
      <c r="G158" s="438"/>
      <c r="H158" s="438"/>
      <c r="I158" s="438"/>
      <c r="J158" s="438"/>
      <c r="K158" s="438"/>
      <c r="L158" s="438"/>
      <c r="M158" s="438"/>
      <c r="N158" s="667"/>
      <c r="O158" s="27"/>
      <c r="P158" s="545" t="s">
        <v>307</v>
      </c>
      <c r="Q158" s="506">
        <f>SUM(Q148:Q157)</f>
        <v>4.3029640984165631</v>
      </c>
      <c r="R158" s="506">
        <f t="shared" ref="R158:AB158" si="65">SUM(R148:R157)</f>
        <v>4.0325943711203251</v>
      </c>
      <c r="S158" s="506">
        <f t="shared" si="65"/>
        <v>61.319428147822386</v>
      </c>
      <c r="T158" s="506">
        <f t="shared" si="65"/>
        <v>18.116722396305484</v>
      </c>
      <c r="U158" s="506">
        <f t="shared" si="65"/>
        <v>-73.296400165071447</v>
      </c>
      <c r="V158" s="506">
        <f t="shared" si="65"/>
        <v>-29.271893268575109</v>
      </c>
      <c r="W158" s="506">
        <f t="shared" si="65"/>
        <v>-22.887516568907081</v>
      </c>
      <c r="X158" s="506">
        <f t="shared" si="65"/>
        <v>-27.853844233495224</v>
      </c>
      <c r="Y158" s="506">
        <f t="shared" si="65"/>
        <v>-62.675330635541677</v>
      </c>
      <c r="Z158" s="506">
        <f t="shared" si="65"/>
        <v>16.863307305120131</v>
      </c>
      <c r="AA158" s="506">
        <f t="shared" si="65"/>
        <v>53.440537934814614</v>
      </c>
      <c r="AB158" s="506">
        <f t="shared" si="65"/>
        <v>4.0337219213972446</v>
      </c>
      <c r="AC158" s="549">
        <f>SUM(AC148:AC157)</f>
        <v>-53.875708696593762</v>
      </c>
    </row>
    <row r="159" spans="1:29" x14ac:dyDescent="0.2">
      <c r="A159" s="134" t="s">
        <v>369</v>
      </c>
      <c r="B159" s="520" t="s">
        <v>20</v>
      </c>
      <c r="C159" s="520" t="s">
        <v>21</v>
      </c>
      <c r="D159" s="520" t="s">
        <v>22</v>
      </c>
      <c r="E159" s="520" t="s">
        <v>23</v>
      </c>
      <c r="F159" s="520" t="s">
        <v>24</v>
      </c>
      <c r="G159" s="520" t="s">
        <v>25</v>
      </c>
      <c r="H159" s="520" t="s">
        <v>26</v>
      </c>
      <c r="I159" s="520" t="s">
        <v>27</v>
      </c>
      <c r="J159" s="520" t="s">
        <v>28</v>
      </c>
      <c r="K159" s="520" t="s">
        <v>29</v>
      </c>
      <c r="L159" s="520" t="s">
        <v>30</v>
      </c>
      <c r="M159" s="520" t="s">
        <v>31</v>
      </c>
      <c r="N159" s="665" t="s">
        <v>53</v>
      </c>
      <c r="O159" s="27"/>
      <c r="P159" s="543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544"/>
    </row>
    <row r="160" spans="1:29" x14ac:dyDescent="0.2">
      <c r="A160" s="132" t="str">
        <f t="shared" ref="A160:A169" si="66">P148</f>
        <v>HVC EO1</v>
      </c>
      <c r="B160" s="509">
        <f t="shared" ref="B160:B169" si="67">Q135-Q148</f>
        <v>0</v>
      </c>
      <c r="C160" s="509">
        <f t="shared" ref="C160:C169" si="68">R135-R148</f>
        <v>0</v>
      </c>
      <c r="D160" s="509">
        <f t="shared" ref="D160:D169" si="69">S135-S148</f>
        <v>0</v>
      </c>
      <c r="E160" s="509">
        <f t="shared" ref="E160:E169" si="70">T135-T148</f>
        <v>0</v>
      </c>
      <c r="F160" s="509">
        <f t="shared" ref="F160:F169" si="71">U135-U148</f>
        <v>0</v>
      </c>
      <c r="G160" s="509">
        <f t="shared" ref="G160:G169" si="72">V135-V148</f>
        <v>0</v>
      </c>
      <c r="H160" s="509">
        <f t="shared" ref="H160:H169" si="73">W135-W148</f>
        <v>0</v>
      </c>
      <c r="I160" s="509">
        <f t="shared" ref="I160:I169" si="74">X135-X148</f>
        <v>0</v>
      </c>
      <c r="J160" s="509">
        <f t="shared" ref="J160:J169" si="75">Y135-Y148</f>
        <v>0</v>
      </c>
      <c r="K160" s="509">
        <f t="shared" ref="K160:K169" si="76">Z135-Z148</f>
        <v>0</v>
      </c>
      <c r="L160" s="509">
        <f t="shared" ref="L160:L169" si="77">AA135-AA148</f>
        <v>0</v>
      </c>
      <c r="M160" s="509">
        <f t="shared" ref="M160:M169" si="78">AB135-AB148</f>
        <v>0</v>
      </c>
      <c r="N160" s="510">
        <f>SUM(B160:M160)</f>
        <v>0</v>
      </c>
      <c r="O160" s="27"/>
      <c r="P160" s="543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544"/>
    </row>
    <row r="161" spans="1:29" x14ac:dyDescent="0.2">
      <c r="A161" s="132" t="str">
        <f t="shared" si="66"/>
        <v>HVC bioolja</v>
      </c>
      <c r="B161" s="509">
        <f t="shared" si="67"/>
        <v>0</v>
      </c>
      <c r="C161" s="509">
        <f t="shared" si="68"/>
        <v>0</v>
      </c>
      <c r="D161" s="509">
        <f t="shared" si="69"/>
        <v>0</v>
      </c>
      <c r="E161" s="509">
        <f t="shared" si="70"/>
        <v>0</v>
      </c>
      <c r="F161" s="509">
        <f t="shared" si="71"/>
        <v>0</v>
      </c>
      <c r="G161" s="509">
        <f t="shared" si="72"/>
        <v>0</v>
      </c>
      <c r="H161" s="509">
        <f t="shared" si="73"/>
        <v>0</v>
      </c>
      <c r="I161" s="509">
        <f t="shared" si="74"/>
        <v>0</v>
      </c>
      <c r="J161" s="509">
        <f t="shared" si="75"/>
        <v>0</v>
      </c>
      <c r="K161" s="509">
        <f t="shared" si="76"/>
        <v>0</v>
      </c>
      <c r="L161" s="509">
        <f t="shared" si="77"/>
        <v>0</v>
      </c>
      <c r="M161" s="509">
        <f t="shared" si="78"/>
        <v>0</v>
      </c>
      <c r="N161" s="510">
        <f t="shared" ref="N161:N169" si="79">SUM(B161:M161)</f>
        <v>0</v>
      </c>
      <c r="O161" s="27"/>
      <c r="P161" s="550" t="s">
        <v>315</v>
      </c>
      <c r="Q161" s="525" t="s">
        <v>20</v>
      </c>
      <c r="R161" s="525" t="s">
        <v>21</v>
      </c>
      <c r="S161" s="525" t="s">
        <v>22</v>
      </c>
      <c r="T161" s="525" t="s">
        <v>23</v>
      </c>
      <c r="U161" s="525" t="s">
        <v>24</v>
      </c>
      <c r="V161" s="525" t="s">
        <v>25</v>
      </c>
      <c r="W161" s="525" t="s">
        <v>26</v>
      </c>
      <c r="X161" s="525" t="s">
        <v>27</v>
      </c>
      <c r="Y161" s="525" t="s">
        <v>28</v>
      </c>
      <c r="Z161" s="525" t="s">
        <v>29</v>
      </c>
      <c r="AA161" s="525" t="s">
        <v>30</v>
      </c>
      <c r="AB161" s="526" t="s">
        <v>31</v>
      </c>
      <c r="AC161" s="551" t="s">
        <v>53</v>
      </c>
    </row>
    <row r="162" spans="1:29" x14ac:dyDescent="0.2">
      <c r="A162" s="132" t="str">
        <f t="shared" si="66"/>
        <v>HVC pellets</v>
      </c>
      <c r="B162" s="509">
        <f t="shared" si="67"/>
        <v>-0.58417561036495957</v>
      </c>
      <c r="C162" s="509">
        <f t="shared" si="68"/>
        <v>-0.54588430502856511</v>
      </c>
      <c r="D162" s="509">
        <f t="shared" si="69"/>
        <v>0</v>
      </c>
      <c r="E162" s="509">
        <f t="shared" si="70"/>
        <v>0</v>
      </c>
      <c r="F162" s="509">
        <f t="shared" si="71"/>
        <v>0</v>
      </c>
      <c r="G162" s="509">
        <f t="shared" si="72"/>
        <v>0</v>
      </c>
      <c r="H162" s="509">
        <f t="shared" si="73"/>
        <v>0</v>
      </c>
      <c r="I162" s="509">
        <f t="shared" si="74"/>
        <v>0</v>
      </c>
      <c r="J162" s="509">
        <f t="shared" si="75"/>
        <v>0</v>
      </c>
      <c r="K162" s="509">
        <f t="shared" si="76"/>
        <v>0</v>
      </c>
      <c r="L162" s="509">
        <f t="shared" si="77"/>
        <v>0</v>
      </c>
      <c r="M162" s="509">
        <f t="shared" si="78"/>
        <v>-0.54021248169371716</v>
      </c>
      <c r="N162" s="510">
        <f t="shared" si="79"/>
        <v>-1.670272397087242</v>
      </c>
      <c r="O162" s="27"/>
      <c r="P162" s="552" t="str">
        <f t="shared" ref="P162:P171" si="80">A184</f>
        <v>HVC EO1</v>
      </c>
      <c r="Q162" s="527">
        <f>Q109/'ÄNDRINGSBARA PARAMETRAR'!B47*B184</f>
        <v>0</v>
      </c>
      <c r="R162" s="527">
        <f>R109/'ÄNDRINGSBARA PARAMETRAR'!C47*C184</f>
        <v>0</v>
      </c>
      <c r="S162" s="527">
        <f>S109/'ÄNDRINGSBARA PARAMETRAR'!D47*D184</f>
        <v>0</v>
      </c>
      <c r="T162" s="527">
        <f>T109/'ÄNDRINGSBARA PARAMETRAR'!E47*E184</f>
        <v>0</v>
      </c>
      <c r="U162" s="527">
        <f>U109/'ÄNDRINGSBARA PARAMETRAR'!F47*F184</f>
        <v>0</v>
      </c>
      <c r="V162" s="527">
        <f>V109/'ÄNDRINGSBARA PARAMETRAR'!G47*G184</f>
        <v>0</v>
      </c>
      <c r="W162" s="527">
        <f>W109/'ÄNDRINGSBARA PARAMETRAR'!H47*H184</f>
        <v>0</v>
      </c>
      <c r="X162" s="527">
        <f>X109/'ÄNDRINGSBARA PARAMETRAR'!I47*I184</f>
        <v>0</v>
      </c>
      <c r="Y162" s="527">
        <f>Y109/'ÄNDRINGSBARA PARAMETRAR'!J47*J184</f>
        <v>0</v>
      </c>
      <c r="Z162" s="527">
        <f>Z109/'ÄNDRINGSBARA PARAMETRAR'!K47*K184</f>
        <v>0</v>
      </c>
      <c r="AA162" s="527">
        <f>AA109/'ÄNDRINGSBARA PARAMETRAR'!L47*L184</f>
        <v>0</v>
      </c>
      <c r="AB162" s="527">
        <f>AB109/'ÄNDRINGSBARA PARAMETRAR'!M47*M184</f>
        <v>0</v>
      </c>
      <c r="AC162" s="553">
        <f>SUM(Q162:AB162)</f>
        <v>0</v>
      </c>
    </row>
    <row r="163" spans="1:29" x14ac:dyDescent="0.2">
      <c r="A163" s="132" t="str">
        <f t="shared" si="66"/>
        <v>KVV avfall</v>
      </c>
      <c r="B163" s="509">
        <f t="shared" si="67"/>
        <v>0</v>
      </c>
      <c r="C163" s="509">
        <f t="shared" si="68"/>
        <v>0</v>
      </c>
      <c r="D163" s="509">
        <f t="shared" si="69"/>
        <v>0</v>
      </c>
      <c r="E163" s="509">
        <f t="shared" si="70"/>
        <v>0</v>
      </c>
      <c r="F163" s="509">
        <f t="shared" si="71"/>
        <v>-87.520255468102164</v>
      </c>
      <c r="G163" s="509">
        <f t="shared" si="72"/>
        <v>-268.94706721786491</v>
      </c>
      <c r="H163" s="509">
        <f t="shared" si="73"/>
        <v>-262.56556348353917</v>
      </c>
      <c r="I163" s="509">
        <f t="shared" si="74"/>
        <v>-179.79533809012349</v>
      </c>
      <c r="J163" s="509">
        <f t="shared" si="75"/>
        <v>-55.998706721786505</v>
      </c>
      <c r="K163" s="509">
        <f t="shared" si="76"/>
        <v>0</v>
      </c>
      <c r="L163" s="509">
        <f t="shared" si="77"/>
        <v>0</v>
      </c>
      <c r="M163" s="509">
        <f t="shared" si="78"/>
        <v>0</v>
      </c>
      <c r="N163" s="510">
        <f t="shared" si="79"/>
        <v>-854.82693098141613</v>
      </c>
      <c r="O163" s="27"/>
      <c r="P163" s="552" t="str">
        <f t="shared" si="80"/>
        <v>HVC bioolja</v>
      </c>
      <c r="Q163" s="527">
        <f>Q110/'ÄNDRINGSBARA PARAMETRAR'!B48*B185</f>
        <v>0</v>
      </c>
      <c r="R163" s="527">
        <f>R110/'ÄNDRINGSBARA PARAMETRAR'!C48*C185</f>
        <v>0</v>
      </c>
      <c r="S163" s="527">
        <f>S110/'ÄNDRINGSBARA PARAMETRAR'!D48*D185</f>
        <v>0</v>
      </c>
      <c r="T163" s="527">
        <f>T110/'ÄNDRINGSBARA PARAMETRAR'!E48*E185</f>
        <v>0</v>
      </c>
      <c r="U163" s="527">
        <f>U110/'ÄNDRINGSBARA PARAMETRAR'!F48*F185</f>
        <v>0</v>
      </c>
      <c r="V163" s="527">
        <f>V110/'ÄNDRINGSBARA PARAMETRAR'!G48*G185</f>
        <v>0</v>
      </c>
      <c r="W163" s="527">
        <f>W110/'ÄNDRINGSBARA PARAMETRAR'!H48*H185</f>
        <v>0</v>
      </c>
      <c r="X163" s="527">
        <f>X110/'ÄNDRINGSBARA PARAMETRAR'!I48*I185</f>
        <v>0</v>
      </c>
      <c r="Y163" s="527">
        <f>Y110/'ÄNDRINGSBARA PARAMETRAR'!J48*J185</f>
        <v>0</v>
      </c>
      <c r="Z163" s="527">
        <f>Z110/'ÄNDRINGSBARA PARAMETRAR'!K48*K185</f>
        <v>0</v>
      </c>
      <c r="AA163" s="527">
        <f>AA110/'ÄNDRINGSBARA PARAMETRAR'!L48*L185</f>
        <v>0</v>
      </c>
      <c r="AB163" s="527">
        <f>AB110/'ÄNDRINGSBARA PARAMETRAR'!M48*M185</f>
        <v>0</v>
      </c>
      <c r="AC163" s="553">
        <f t="shared" ref="AC163:AC171" si="81">SUM(Q163:AB163)</f>
        <v>0</v>
      </c>
    </row>
    <row r="164" spans="1:29" x14ac:dyDescent="0.2">
      <c r="A164" s="132" t="str">
        <f t="shared" si="66"/>
        <v>KVV grot</v>
      </c>
      <c r="B164" s="509">
        <f t="shared" si="67"/>
        <v>0</v>
      </c>
      <c r="C164" s="509">
        <f t="shared" si="68"/>
        <v>0</v>
      </c>
      <c r="D164" s="509">
        <f t="shared" si="69"/>
        <v>0</v>
      </c>
      <c r="E164" s="509">
        <f t="shared" si="70"/>
        <v>49.23961337363216</v>
      </c>
      <c r="F164" s="509">
        <f t="shared" si="71"/>
        <v>-175.36768946131872</v>
      </c>
      <c r="G164" s="509">
        <f t="shared" si="72"/>
        <v>0</v>
      </c>
      <c r="H164" s="509">
        <f t="shared" si="73"/>
        <v>0</v>
      </c>
      <c r="I164" s="509">
        <f t="shared" si="74"/>
        <v>0</v>
      </c>
      <c r="J164" s="509">
        <f t="shared" si="75"/>
        <v>-112.20675440328063</v>
      </c>
      <c r="K164" s="509">
        <f t="shared" si="76"/>
        <v>49.030363606573957</v>
      </c>
      <c r="L164" s="509">
        <f t="shared" si="77"/>
        <v>0</v>
      </c>
      <c r="M164" s="509">
        <f t="shared" si="78"/>
        <v>0</v>
      </c>
      <c r="N164" s="510">
        <f t="shared" si="79"/>
        <v>-189.30446688439324</v>
      </c>
      <c r="O164" s="27"/>
      <c r="P164" s="552" t="str">
        <f t="shared" si="80"/>
        <v>HVC pellets</v>
      </c>
      <c r="Q164" s="527">
        <f>Q111/'ÄNDRINGSBARA PARAMETRAR'!B49*B186</f>
        <v>50.940175402561316</v>
      </c>
      <c r="R164" s="527">
        <f>R111/'ÄNDRINGSBARA PARAMETRAR'!C49*C186</f>
        <v>48.017210134733908</v>
      </c>
      <c r="S164" s="527">
        <f>S111/'ÄNDRINGSBARA PARAMETRAR'!D49*D186</f>
        <v>0</v>
      </c>
      <c r="T164" s="527">
        <f>T111/'ÄNDRINGSBARA PARAMETRAR'!E49*E186</f>
        <v>0</v>
      </c>
      <c r="U164" s="527">
        <f>U111/'ÄNDRINGSBARA PARAMETRAR'!F49*F186</f>
        <v>0</v>
      </c>
      <c r="V164" s="527">
        <f>V111/'ÄNDRINGSBARA PARAMETRAR'!G49*G186</f>
        <v>0</v>
      </c>
      <c r="W164" s="527">
        <f>W111/'ÄNDRINGSBARA PARAMETRAR'!H49*H186</f>
        <v>0</v>
      </c>
      <c r="X164" s="527">
        <f>X111/'ÄNDRINGSBARA PARAMETRAR'!I49*I186</f>
        <v>0</v>
      </c>
      <c r="Y164" s="527">
        <f>Y111/'ÄNDRINGSBARA PARAMETRAR'!J49*J186</f>
        <v>0</v>
      </c>
      <c r="Z164" s="527">
        <f>Z111/'ÄNDRINGSBARA PARAMETRAR'!K49*K186</f>
        <v>0</v>
      </c>
      <c r="AA164" s="527">
        <f>AA111/'ÄNDRINGSBARA PARAMETRAR'!L49*L186</f>
        <v>0</v>
      </c>
      <c r="AB164" s="527">
        <f>AB111/'ÄNDRINGSBARA PARAMETRAR'!M49*M186</f>
        <v>49.051019379485219</v>
      </c>
      <c r="AC164" s="553">
        <f t="shared" si="81"/>
        <v>148.00840491678045</v>
      </c>
    </row>
    <row r="165" spans="1:29" x14ac:dyDescent="0.2">
      <c r="A165" s="132" t="str">
        <f t="shared" si="66"/>
        <v>Värmepump COP3</v>
      </c>
      <c r="B165" s="509">
        <f t="shared" si="67"/>
        <v>0</v>
      </c>
      <c r="C165" s="509">
        <f t="shared" si="68"/>
        <v>0</v>
      </c>
      <c r="D165" s="509">
        <f t="shared" si="69"/>
        <v>-55.973125057923788</v>
      </c>
      <c r="E165" s="509">
        <f t="shared" si="70"/>
        <v>-63.444231317471463</v>
      </c>
      <c r="F165" s="509">
        <f t="shared" si="71"/>
        <v>0</v>
      </c>
      <c r="G165" s="509">
        <f t="shared" si="72"/>
        <v>0</v>
      </c>
      <c r="H165" s="509">
        <f t="shared" si="73"/>
        <v>0</v>
      </c>
      <c r="I165" s="509">
        <f t="shared" si="74"/>
        <v>0</v>
      </c>
      <c r="J165" s="509">
        <f t="shared" si="75"/>
        <v>0</v>
      </c>
      <c r="K165" s="509">
        <f t="shared" si="76"/>
        <v>-63.174617286921887</v>
      </c>
      <c r="L165" s="509">
        <f t="shared" si="77"/>
        <v>-53.163953760636971</v>
      </c>
      <c r="M165" s="509">
        <f t="shared" si="78"/>
        <v>0</v>
      </c>
      <c r="N165" s="510">
        <f t="shared" si="79"/>
        <v>-235.75592742295413</v>
      </c>
      <c r="O165" s="27"/>
      <c r="P165" s="552" t="str">
        <f t="shared" si="80"/>
        <v>KVV avfall</v>
      </c>
      <c r="Q165" s="527">
        <f>Q112/'ÄNDRINGSBARA PARAMETRAR'!B50*B187</f>
        <v>0</v>
      </c>
      <c r="R165" s="527">
        <f>R112/'ÄNDRINGSBARA PARAMETRAR'!C50*C187</f>
        <v>0</v>
      </c>
      <c r="S165" s="527">
        <f>S112/'ÄNDRINGSBARA PARAMETRAR'!D50*D187</f>
        <v>0</v>
      </c>
      <c r="T165" s="527">
        <f>T112/'ÄNDRINGSBARA PARAMETRAR'!E50*E187</f>
        <v>0</v>
      </c>
      <c r="U165" s="527">
        <f>U112/'ÄNDRINGSBARA PARAMETRAR'!F50*F187</f>
        <v>-625.19530019217643</v>
      </c>
      <c r="V165" s="527">
        <f>V112/'ÄNDRINGSBARA PARAMETRAR'!G50*G187</f>
        <v>-1665.8487426463507</v>
      </c>
      <c r="W165" s="527">
        <f>W112/'ÄNDRINGSBARA PARAMETRAR'!H50*H187</f>
        <v>-1594.5386360218283</v>
      </c>
      <c r="X165" s="527">
        <f>X112/'ÄNDRINGSBARA PARAMETRAR'!I50*I187</f>
        <v>-1159.9266817948405</v>
      </c>
      <c r="Y165" s="527">
        <f>Y112/'ÄNDRINGSBARA PARAMETRAR'!J50*J187</f>
        <v>-429.3643889717992</v>
      </c>
      <c r="Z165" s="527">
        <f>Z112/'ÄNDRINGSBARA PARAMETRAR'!K50*K187</f>
        <v>0</v>
      </c>
      <c r="AA165" s="527">
        <f>AA112/'ÄNDRINGSBARA PARAMETRAR'!L50*L187</f>
        <v>0</v>
      </c>
      <c r="AB165" s="527">
        <f>AB112/'ÄNDRINGSBARA PARAMETRAR'!M50*M187</f>
        <v>0</v>
      </c>
      <c r="AC165" s="553">
        <f t="shared" si="81"/>
        <v>-5474.873749626996</v>
      </c>
    </row>
    <row r="166" spans="1:29" x14ac:dyDescent="0.2">
      <c r="A166" s="132" t="str">
        <f t="shared" si="66"/>
        <v>Spillvärme industri</v>
      </c>
      <c r="B166" s="509">
        <f t="shared" si="67"/>
        <v>0</v>
      </c>
      <c r="C166" s="509">
        <f t="shared" si="68"/>
        <v>0</v>
      </c>
      <c r="D166" s="509">
        <f t="shared" si="69"/>
        <v>0</v>
      </c>
      <c r="E166" s="509">
        <f t="shared" si="70"/>
        <v>0</v>
      </c>
      <c r="F166" s="509">
        <f t="shared" si="71"/>
        <v>0</v>
      </c>
      <c r="G166" s="509">
        <f t="shared" si="72"/>
        <v>0</v>
      </c>
      <c r="H166" s="509">
        <f t="shared" si="73"/>
        <v>0</v>
      </c>
      <c r="I166" s="509">
        <f t="shared" si="74"/>
        <v>0</v>
      </c>
      <c r="J166" s="509">
        <f t="shared" si="75"/>
        <v>0</v>
      </c>
      <c r="K166" s="509">
        <f t="shared" si="76"/>
        <v>0</v>
      </c>
      <c r="L166" s="509">
        <f t="shared" si="77"/>
        <v>0</v>
      </c>
      <c r="M166" s="509">
        <f t="shared" si="78"/>
        <v>0</v>
      </c>
      <c r="N166" s="510">
        <f t="shared" si="79"/>
        <v>0</v>
      </c>
      <c r="O166" s="27"/>
      <c r="P166" s="552" t="str">
        <f t="shared" si="80"/>
        <v>KVV grot</v>
      </c>
      <c r="Q166" s="527">
        <f>Q113/'ÄNDRINGSBARA PARAMETRAR'!B51*B188</f>
        <v>0</v>
      </c>
      <c r="R166" s="527">
        <f>R113/'ÄNDRINGSBARA PARAMETRAR'!C51*C188</f>
        <v>0</v>
      </c>
      <c r="S166" s="527">
        <f>S113/'ÄNDRINGSBARA PARAMETRAR'!D51*D188</f>
        <v>0</v>
      </c>
      <c r="T166" s="527">
        <f>T113/'ÄNDRINGSBARA PARAMETRAR'!E51*E188</f>
        <v>-38.307482230335786</v>
      </c>
      <c r="U166" s="527">
        <f>U113/'ÄNDRINGSBARA PARAMETRAR'!F51*F188</f>
        <v>-633.49688613795161</v>
      </c>
      <c r="V166" s="527">
        <f>V113/'ÄNDRINGSBARA PARAMETRAR'!G51*G188</f>
        <v>0</v>
      </c>
      <c r="W166" s="527">
        <f>W113/'ÄNDRINGSBARA PARAMETRAR'!H51*H188</f>
        <v>0</v>
      </c>
      <c r="X166" s="527">
        <f>X113/'ÄNDRINGSBARA PARAMETRAR'!I51*I188</f>
        <v>0</v>
      </c>
      <c r="Y166" s="527">
        <f>Y113/'ÄNDRINGSBARA PARAMETRAR'!J51*J188</f>
        <v>-435.06565604147966</v>
      </c>
      <c r="Z166" s="527">
        <f>Z113/'ÄNDRINGSBARA PARAMETRAR'!K51*K188</f>
        <v>-26.6250811244646</v>
      </c>
      <c r="AA166" s="527">
        <f>AA113/'ÄNDRINGSBARA PARAMETRAR'!L51*L188</f>
        <v>0</v>
      </c>
      <c r="AB166" s="527">
        <f>AB113/'ÄNDRINGSBARA PARAMETRAR'!M51*M188</f>
        <v>0</v>
      </c>
      <c r="AC166" s="553">
        <f t="shared" si="81"/>
        <v>-1133.4951055342317</v>
      </c>
    </row>
    <row r="167" spans="1:29" x14ac:dyDescent="0.2">
      <c r="A167" s="132" t="str">
        <f t="shared" si="66"/>
        <v>HVC Gas</v>
      </c>
      <c r="B167" s="509">
        <f t="shared" si="67"/>
        <v>-16.286107925326149</v>
      </c>
      <c r="C167" s="509">
        <f t="shared" si="68"/>
        <v>-15.218592746250904</v>
      </c>
      <c r="D167" s="509">
        <f t="shared" si="69"/>
        <v>0</v>
      </c>
      <c r="E167" s="509">
        <f t="shared" si="70"/>
        <v>0</v>
      </c>
      <c r="F167" s="509">
        <f t="shared" si="71"/>
        <v>0</v>
      </c>
      <c r="G167" s="509">
        <f t="shared" si="72"/>
        <v>0</v>
      </c>
      <c r="H167" s="509">
        <f t="shared" si="73"/>
        <v>0</v>
      </c>
      <c r="I167" s="509">
        <f t="shared" si="74"/>
        <v>0</v>
      </c>
      <c r="J167" s="509">
        <f t="shared" si="75"/>
        <v>0</v>
      </c>
      <c r="K167" s="509">
        <f t="shared" si="76"/>
        <v>0</v>
      </c>
      <c r="L167" s="509">
        <f t="shared" si="77"/>
        <v>0</v>
      </c>
      <c r="M167" s="509">
        <f t="shared" si="78"/>
        <v>-15.060469186612725</v>
      </c>
      <c r="N167" s="510">
        <f t="shared" si="79"/>
        <v>-46.565169858189776</v>
      </c>
      <c r="P167" s="552" t="str">
        <f t="shared" si="80"/>
        <v>Värmepump COP3</v>
      </c>
      <c r="Q167" s="527">
        <f>Q114/'ÄNDRINGSBARA PARAMETRAR'!B52*B189</f>
        <v>0</v>
      </c>
      <c r="R167" s="527">
        <f>R114/'ÄNDRINGSBARA PARAMETRAR'!C52*C189</f>
        <v>0</v>
      </c>
      <c r="S167" s="527">
        <f>S114/'ÄNDRINGSBARA PARAMETRAR'!D52*D189</f>
        <v>19.729714506451547</v>
      </c>
      <c r="T167" s="527">
        <f>T114/'ÄNDRINGSBARA PARAMETRAR'!E52*E189</f>
        <v>17.418393128908896</v>
      </c>
      <c r="U167" s="527">
        <f>U114/'ÄNDRINGSBARA PARAMETRAR'!F52*F189</f>
        <v>0</v>
      </c>
      <c r="V167" s="527">
        <f>V114/'ÄNDRINGSBARA PARAMETRAR'!G52*G189</f>
        <v>0</v>
      </c>
      <c r="W167" s="527">
        <f>W114/'ÄNDRINGSBARA PARAMETRAR'!H52*H189</f>
        <v>0</v>
      </c>
      <c r="X167" s="527">
        <f>X114/'ÄNDRINGSBARA PARAMETRAR'!I52*I189</f>
        <v>0</v>
      </c>
      <c r="Y167" s="527">
        <f>Y114/'ÄNDRINGSBARA PARAMETRAR'!J52*J189</f>
        <v>0</v>
      </c>
      <c r="Z167" s="527">
        <f>Z114/'ÄNDRINGSBARA PARAMETRAR'!K52*K189</f>
        <v>12.106411152956396</v>
      </c>
      <c r="AA167" s="527">
        <f>AA114/'ÄNDRINGSBARA PARAMETRAR'!L52*L189</f>
        <v>12.825634095267619</v>
      </c>
      <c r="AB167" s="527">
        <f>AB114/'ÄNDRINGSBARA PARAMETRAR'!M52*M189</f>
        <v>0</v>
      </c>
      <c r="AC167" s="553">
        <f t="shared" si="81"/>
        <v>62.080152883584461</v>
      </c>
    </row>
    <row r="168" spans="1:29" x14ac:dyDescent="0.2">
      <c r="A168" s="132" t="str">
        <f t="shared" si="66"/>
        <v>KVV Gas</v>
      </c>
      <c r="B168" s="509">
        <f t="shared" si="67"/>
        <v>13.997326837884653</v>
      </c>
      <c r="C168" s="509">
        <f t="shared" si="68"/>
        <v>13.079835750730386</v>
      </c>
      <c r="D168" s="509">
        <f t="shared" si="69"/>
        <v>10.671963580562625</v>
      </c>
      <c r="E168" s="509">
        <f t="shared" si="70"/>
        <v>0</v>
      </c>
      <c r="F168" s="509">
        <f t="shared" si="71"/>
        <v>0</v>
      </c>
      <c r="G168" s="509">
        <f t="shared" si="72"/>
        <v>0</v>
      </c>
      <c r="H168" s="509">
        <f t="shared" si="73"/>
        <v>0</v>
      </c>
      <c r="I168" s="509">
        <f t="shared" si="74"/>
        <v>0</v>
      </c>
      <c r="J168" s="509">
        <f t="shared" si="75"/>
        <v>0</v>
      </c>
      <c r="K168" s="509">
        <f t="shared" si="76"/>
        <v>0</v>
      </c>
      <c r="L168" s="509">
        <f t="shared" si="77"/>
        <v>10.136360579208269</v>
      </c>
      <c r="M168" s="509">
        <f t="shared" si="78"/>
        <v>12.943934210892039</v>
      </c>
      <c r="N168" s="510">
        <f t="shared" si="79"/>
        <v>60.829420959277968</v>
      </c>
      <c r="P168" s="552" t="str">
        <f t="shared" si="80"/>
        <v>Spillvärme industri</v>
      </c>
      <c r="Q168" s="527">
        <f>Q115/'ÄNDRINGSBARA PARAMETRAR'!B53*B190</f>
        <v>0</v>
      </c>
      <c r="R168" s="527">
        <f>R115/'ÄNDRINGSBARA PARAMETRAR'!C53*C190</f>
        <v>0</v>
      </c>
      <c r="S168" s="527">
        <f>S115/'ÄNDRINGSBARA PARAMETRAR'!D53*D190</f>
        <v>0</v>
      </c>
      <c r="T168" s="527">
        <f>T115/'ÄNDRINGSBARA PARAMETRAR'!E53*E190</f>
        <v>0</v>
      </c>
      <c r="U168" s="527">
        <f>U115/'ÄNDRINGSBARA PARAMETRAR'!F53*F190</f>
        <v>0</v>
      </c>
      <c r="V168" s="527">
        <f>V115/'ÄNDRINGSBARA PARAMETRAR'!G53*G190</f>
        <v>0</v>
      </c>
      <c r="W168" s="527">
        <f>W115/'ÄNDRINGSBARA PARAMETRAR'!H53*H190</f>
        <v>0</v>
      </c>
      <c r="X168" s="527">
        <f>X115/'ÄNDRINGSBARA PARAMETRAR'!I53*I190</f>
        <v>0</v>
      </c>
      <c r="Y168" s="527">
        <f>Y115/'ÄNDRINGSBARA PARAMETRAR'!J53*J190</f>
        <v>0</v>
      </c>
      <c r="Z168" s="527">
        <f>Z115/'ÄNDRINGSBARA PARAMETRAR'!K53*K190</f>
        <v>0</v>
      </c>
      <c r="AA168" s="527">
        <f>AA115/'ÄNDRINGSBARA PARAMETRAR'!L53*L190</f>
        <v>0</v>
      </c>
      <c r="AB168" s="527">
        <f>AB115/'ÄNDRINGSBARA PARAMETRAR'!M53*M190</f>
        <v>0</v>
      </c>
      <c r="AC168" s="553">
        <f t="shared" si="81"/>
        <v>0</v>
      </c>
    </row>
    <row r="169" spans="1:29" s="296" customFormat="1" x14ac:dyDescent="0.2">
      <c r="A169" s="133" t="str">
        <f t="shared" si="66"/>
        <v>Valfri 3</v>
      </c>
      <c r="B169" s="509">
        <f t="shared" si="67"/>
        <v>0</v>
      </c>
      <c r="C169" s="509">
        <f t="shared" si="68"/>
        <v>0</v>
      </c>
      <c r="D169" s="509">
        <f t="shared" si="69"/>
        <v>0</v>
      </c>
      <c r="E169" s="509">
        <f t="shared" si="70"/>
        <v>0</v>
      </c>
      <c r="F169" s="509">
        <f t="shared" si="71"/>
        <v>0</v>
      </c>
      <c r="G169" s="509">
        <f t="shared" si="72"/>
        <v>0</v>
      </c>
      <c r="H169" s="509">
        <f t="shared" si="73"/>
        <v>0</v>
      </c>
      <c r="I169" s="509">
        <f t="shared" si="74"/>
        <v>0</v>
      </c>
      <c r="J169" s="509">
        <f t="shared" si="75"/>
        <v>0</v>
      </c>
      <c r="K169" s="509">
        <f t="shared" si="76"/>
        <v>0</v>
      </c>
      <c r="L169" s="509">
        <f t="shared" si="77"/>
        <v>0</v>
      </c>
      <c r="M169" s="509">
        <f t="shared" si="78"/>
        <v>0</v>
      </c>
      <c r="N169" s="511">
        <f t="shared" si="79"/>
        <v>0</v>
      </c>
      <c r="P169" s="552" t="str">
        <f t="shared" si="80"/>
        <v>HVC Gas</v>
      </c>
      <c r="Q169" s="527">
        <f>Q116/'ÄNDRINGSBARA PARAMETRAR'!B54*B191</f>
        <v>39.523819776250441</v>
      </c>
      <c r="R169" s="527">
        <f>R116/'ÄNDRINGSBARA PARAMETRAR'!C54*C191</f>
        <v>37.255929029018326</v>
      </c>
      <c r="S169" s="527">
        <f>S116/'ÄNDRINGSBARA PARAMETRAR'!D54*D191</f>
        <v>0</v>
      </c>
      <c r="T169" s="527">
        <f>T116/'ÄNDRINGSBARA PARAMETRAR'!E54*E191</f>
        <v>0</v>
      </c>
      <c r="U169" s="527">
        <f>U116/'ÄNDRINGSBARA PARAMETRAR'!F54*F191</f>
        <v>0</v>
      </c>
      <c r="V169" s="527">
        <f>V116/'ÄNDRINGSBARA PARAMETRAR'!G54*G191</f>
        <v>0</v>
      </c>
      <c r="W169" s="527">
        <f>W116/'ÄNDRINGSBARA PARAMETRAR'!H54*H191</f>
        <v>0</v>
      </c>
      <c r="X169" s="527">
        <f>X116/'ÄNDRINGSBARA PARAMETRAR'!I54*I191</f>
        <v>0</v>
      </c>
      <c r="Y169" s="527">
        <f>Y116/'ÄNDRINGSBARA PARAMETRAR'!J54*J191</f>
        <v>0</v>
      </c>
      <c r="Z169" s="527">
        <f>Z116/'ÄNDRINGSBARA PARAMETRAR'!K54*K191</f>
        <v>0</v>
      </c>
      <c r="AA169" s="527">
        <f>AA116/'ÄNDRINGSBARA PARAMETRAR'!L54*L191</f>
        <v>0</v>
      </c>
      <c r="AB169" s="527">
        <f>AB116/'ÄNDRINGSBARA PARAMETRAR'!M54*M191</f>
        <v>38.058048180545974</v>
      </c>
      <c r="AC169" s="553">
        <f t="shared" si="81"/>
        <v>114.83779698581475</v>
      </c>
    </row>
    <row r="170" spans="1:29" s="296" customFormat="1" x14ac:dyDescent="0.2">
      <c r="A170" s="134" t="s">
        <v>307</v>
      </c>
      <c r="B170" s="507">
        <f>SUM(B160:B169)</f>
        <v>-2.8729566978064547</v>
      </c>
      <c r="C170" s="507">
        <f t="shared" ref="C170:M170" si="82">SUM(C160:C169)</f>
        <v>-2.6846413005490835</v>
      </c>
      <c r="D170" s="507">
        <f t="shared" si="82"/>
        <v>-45.301161477361163</v>
      </c>
      <c r="E170" s="507">
        <f t="shared" si="82"/>
        <v>-14.204617943839303</v>
      </c>
      <c r="F170" s="507">
        <f t="shared" si="82"/>
        <v>-262.88794492942088</v>
      </c>
      <c r="G170" s="507">
        <f t="shared" si="82"/>
        <v>-268.94706721786491</v>
      </c>
      <c r="H170" s="507">
        <f t="shared" si="82"/>
        <v>-262.56556348353917</v>
      </c>
      <c r="I170" s="507">
        <f t="shared" si="82"/>
        <v>-179.79533809012349</v>
      </c>
      <c r="J170" s="507">
        <f t="shared" si="82"/>
        <v>-168.20546112506713</v>
      </c>
      <c r="K170" s="507">
        <f t="shared" si="82"/>
        <v>-14.14425368034793</v>
      </c>
      <c r="L170" s="507">
        <f t="shared" si="82"/>
        <v>-43.027593181428699</v>
      </c>
      <c r="M170" s="507">
        <f t="shared" si="82"/>
        <v>-2.6567474574144025</v>
      </c>
      <c r="N170" s="508">
        <f>SUM(N160:N169)</f>
        <v>-1267.2933465847625</v>
      </c>
      <c r="P170" s="552" t="str">
        <f t="shared" si="80"/>
        <v>KVV Gas</v>
      </c>
      <c r="Q170" s="527">
        <f>Q117/'ÄNDRINGSBARA PARAMETRAR'!B55*B192</f>
        <v>55.771159028040834</v>
      </c>
      <c r="R170" s="527">
        <f>R117/'ÄNDRINGSBARA PARAMETRAR'!C55*C192</f>
        <v>52.570990212421776</v>
      </c>
      <c r="S170" s="527">
        <f>S117/'ÄNDRINGSBARA PARAMETRAR'!D55*D192</f>
        <v>30.206880578190528</v>
      </c>
      <c r="T170" s="527">
        <f>T117/'ÄNDRINGSBARA PARAMETRAR'!E55*E192</f>
        <v>0</v>
      </c>
      <c r="U170" s="527">
        <f>U117/'ÄNDRINGSBARA PARAMETRAR'!F55*F192</f>
        <v>0</v>
      </c>
      <c r="V170" s="527">
        <f>V117/'ÄNDRINGSBARA PARAMETRAR'!G55*G192</f>
        <v>0</v>
      </c>
      <c r="W170" s="527">
        <f>W117/'ÄNDRINGSBARA PARAMETRAR'!H55*H192</f>
        <v>0</v>
      </c>
      <c r="X170" s="527">
        <f>X117/'ÄNDRINGSBARA PARAMETRAR'!I55*I192</f>
        <v>0</v>
      </c>
      <c r="Y170" s="527">
        <f>Y117/'ÄNDRINGSBARA PARAMETRAR'!J55*J192</f>
        <v>0</v>
      </c>
      <c r="Z170" s="527">
        <f>Z117/'ÄNDRINGSBARA PARAMETRAR'!K55*K192</f>
        <v>0</v>
      </c>
      <c r="AA170" s="527">
        <f>AA117/'ÄNDRINGSBARA PARAMETRAR'!L55*L192</f>
        <v>19.636492830579577</v>
      </c>
      <c r="AB170" s="527">
        <f>AB117/'ÄNDRINGSBARA PARAMETRAR'!M55*M192</f>
        <v>53.702842219958924</v>
      </c>
      <c r="AC170" s="553">
        <f t="shared" si="81"/>
        <v>211.88836486919166</v>
      </c>
    </row>
    <row r="171" spans="1:29" s="296" customFormat="1" x14ac:dyDescent="0.2">
      <c r="A171" s="460" t="s">
        <v>364</v>
      </c>
      <c r="B171" s="460"/>
      <c r="C171" s="460"/>
      <c r="D171" s="460"/>
      <c r="E171" s="460"/>
      <c r="F171" s="460"/>
      <c r="G171" s="460"/>
      <c r="H171" s="460"/>
      <c r="I171" s="460"/>
      <c r="J171" s="460"/>
      <c r="K171" s="460"/>
      <c r="L171" s="460"/>
      <c r="M171" s="460"/>
      <c r="N171" s="671"/>
      <c r="P171" s="552" t="str">
        <f t="shared" si="80"/>
        <v>Valfri 3</v>
      </c>
      <c r="Q171" s="527">
        <f>Q118/'ÄNDRINGSBARA PARAMETRAR'!B56*B193</f>
        <v>0</v>
      </c>
      <c r="R171" s="527">
        <f>R118/'ÄNDRINGSBARA PARAMETRAR'!C56*C193</f>
        <v>0</v>
      </c>
      <c r="S171" s="527">
        <f>S118/'ÄNDRINGSBARA PARAMETRAR'!D56*D193</f>
        <v>0</v>
      </c>
      <c r="T171" s="527">
        <f>T118/'ÄNDRINGSBARA PARAMETRAR'!E56*E193</f>
        <v>0</v>
      </c>
      <c r="U171" s="527">
        <f>U118/'ÄNDRINGSBARA PARAMETRAR'!F56*F193</f>
        <v>0</v>
      </c>
      <c r="V171" s="527">
        <f>V118/'ÄNDRINGSBARA PARAMETRAR'!G56*G193</f>
        <v>0</v>
      </c>
      <c r="W171" s="527">
        <f>W118/'ÄNDRINGSBARA PARAMETRAR'!H56*H193</f>
        <v>0</v>
      </c>
      <c r="X171" s="527">
        <f>X118/'ÄNDRINGSBARA PARAMETRAR'!I56*I193</f>
        <v>0</v>
      </c>
      <c r="Y171" s="527">
        <f>Y118/'ÄNDRINGSBARA PARAMETRAR'!J56*J193</f>
        <v>0</v>
      </c>
      <c r="Z171" s="527">
        <f>Z118/'ÄNDRINGSBARA PARAMETRAR'!K56*K193</f>
        <v>0</v>
      </c>
      <c r="AA171" s="527">
        <f>AA118/'ÄNDRINGSBARA PARAMETRAR'!L56*L193</f>
        <v>0</v>
      </c>
      <c r="AB171" s="527">
        <f>AB118/'ÄNDRINGSBARA PARAMETRAR'!M56*M193</f>
        <v>0</v>
      </c>
      <c r="AC171" s="553">
        <f t="shared" si="81"/>
        <v>0</v>
      </c>
    </row>
    <row r="172" spans="1:29" s="296" customFormat="1" x14ac:dyDescent="0.2">
      <c r="N172" s="26"/>
      <c r="P172" s="550" t="s">
        <v>308</v>
      </c>
      <c r="Q172" s="528">
        <f>SUM(Q162:Q171)</f>
        <v>146.2351542068526</v>
      </c>
      <c r="R172" s="528">
        <f t="shared" ref="R172:AB172" si="83">SUM(R162:R171)</f>
        <v>137.84412937617401</v>
      </c>
      <c r="S172" s="528">
        <f t="shared" si="83"/>
        <v>49.936595084642079</v>
      </c>
      <c r="T172" s="528">
        <f t="shared" si="83"/>
        <v>-20.88908910142689</v>
      </c>
      <c r="U172" s="528">
        <f t="shared" si="83"/>
        <v>-1258.6921863301282</v>
      </c>
      <c r="V172" s="528">
        <f t="shared" si="83"/>
        <v>-1665.8487426463507</v>
      </c>
      <c r="W172" s="528">
        <f t="shared" si="83"/>
        <v>-1594.5386360218283</v>
      </c>
      <c r="X172" s="528">
        <f t="shared" si="83"/>
        <v>-1159.9266817948405</v>
      </c>
      <c r="Y172" s="528">
        <f t="shared" si="83"/>
        <v>-864.43004501327891</v>
      </c>
      <c r="Z172" s="528">
        <f t="shared" si="83"/>
        <v>-14.518669971508205</v>
      </c>
      <c r="AA172" s="528">
        <f t="shared" si="83"/>
        <v>32.462126925847194</v>
      </c>
      <c r="AB172" s="528">
        <f t="shared" si="83"/>
        <v>140.81190977999012</v>
      </c>
      <c r="AC172" s="554">
        <f>SUM(AC162:AC171)</f>
        <v>-6071.5541355058558</v>
      </c>
    </row>
    <row r="173" spans="1:29" s="296" customFormat="1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 s="26"/>
      <c r="P173" s="541"/>
      <c r="Q173" s="459"/>
      <c r="R173" s="459"/>
      <c r="S173" s="459"/>
      <c r="T173" s="459"/>
      <c r="U173" s="459"/>
      <c r="V173" s="459"/>
      <c r="W173" s="459"/>
      <c r="X173" s="459"/>
      <c r="Y173" s="459"/>
      <c r="Z173" s="459"/>
      <c r="AA173" s="459"/>
      <c r="AB173" s="459"/>
      <c r="AC173" s="542"/>
    </row>
    <row r="174" spans="1:29" s="296" customFormat="1" x14ac:dyDescent="0.2">
      <c r="A174" s="512" t="s">
        <v>310</v>
      </c>
      <c r="B174" s="513"/>
      <c r="C174" s="513"/>
      <c r="D174" s="513"/>
      <c r="E174" s="513"/>
      <c r="F174" s="513"/>
      <c r="G174" s="513"/>
      <c r="H174" s="513"/>
      <c r="I174" s="513"/>
      <c r="J174" s="513"/>
      <c r="K174" s="513"/>
      <c r="L174" s="513"/>
      <c r="M174" s="513"/>
      <c r="N174" s="672"/>
      <c r="P174" s="550" t="s">
        <v>316</v>
      </c>
      <c r="Q174" s="525" t="s">
        <v>20</v>
      </c>
      <c r="R174" s="525" t="s">
        <v>21</v>
      </c>
      <c r="S174" s="525" t="s">
        <v>22</v>
      </c>
      <c r="T174" s="525" t="s">
        <v>23</v>
      </c>
      <c r="U174" s="525" t="s">
        <v>24</v>
      </c>
      <c r="V174" s="525" t="s">
        <v>25</v>
      </c>
      <c r="W174" s="525" t="s">
        <v>26</v>
      </c>
      <c r="X174" s="525" t="s">
        <v>27</v>
      </c>
      <c r="Y174" s="525" t="s">
        <v>28</v>
      </c>
      <c r="Z174" s="525" t="s">
        <v>29</v>
      </c>
      <c r="AA174" s="525" t="s">
        <v>30</v>
      </c>
      <c r="AB174" s="525" t="s">
        <v>31</v>
      </c>
      <c r="AC174" s="551" t="s">
        <v>53</v>
      </c>
    </row>
    <row r="175" spans="1:29" s="296" customFormat="1" x14ac:dyDescent="0.2">
      <c r="A175" s="516" t="s">
        <v>373</v>
      </c>
      <c r="B175" s="109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673"/>
      <c r="P175" s="552" t="str">
        <f t="shared" ref="P175:P184" si="84">P162</f>
        <v>HVC EO1</v>
      </c>
      <c r="Q175" s="527">
        <f>Q122/'ÄNDRINGSBARA PARAMETRAR'!B47*B184</f>
        <v>0</v>
      </c>
      <c r="R175" s="527">
        <f>R122/'ÄNDRINGSBARA PARAMETRAR'!C47*C184</f>
        <v>0</v>
      </c>
      <c r="S175" s="527">
        <f>S122/'ÄNDRINGSBARA PARAMETRAR'!D47*D184</f>
        <v>0</v>
      </c>
      <c r="T175" s="527">
        <f>T122/'ÄNDRINGSBARA PARAMETRAR'!E47*E184</f>
        <v>0</v>
      </c>
      <c r="U175" s="527">
        <f>U122/'ÄNDRINGSBARA PARAMETRAR'!F47*F184</f>
        <v>0</v>
      </c>
      <c r="V175" s="527">
        <f>V122/'ÄNDRINGSBARA PARAMETRAR'!G47*G184</f>
        <v>0</v>
      </c>
      <c r="W175" s="527">
        <f>W122/'ÄNDRINGSBARA PARAMETRAR'!H47*H184</f>
        <v>0</v>
      </c>
      <c r="X175" s="527">
        <f>X122/'ÄNDRINGSBARA PARAMETRAR'!I47*I184</f>
        <v>0</v>
      </c>
      <c r="Y175" s="527">
        <f>Y122/'ÄNDRINGSBARA PARAMETRAR'!J47*J184</f>
        <v>0</v>
      </c>
      <c r="Z175" s="527">
        <f>Z122/'ÄNDRINGSBARA PARAMETRAR'!K47*K184</f>
        <v>0</v>
      </c>
      <c r="AA175" s="527">
        <f>AA122/'ÄNDRINGSBARA PARAMETRAR'!L47*L184</f>
        <v>0</v>
      </c>
      <c r="AB175" s="527">
        <f>AB122/'ÄNDRINGSBARA PARAMETRAR'!M47*M184</f>
        <v>0</v>
      </c>
      <c r="AC175" s="553">
        <f>SUM(Q175:AB175)</f>
        <v>0</v>
      </c>
    </row>
    <row r="176" spans="1:29" s="296" customFormat="1" x14ac:dyDescent="0.2">
      <c r="A176" s="137"/>
      <c r="B176" s="517" t="s">
        <v>20</v>
      </c>
      <c r="C176" s="517" t="s">
        <v>21</v>
      </c>
      <c r="D176" s="517" t="s">
        <v>22</v>
      </c>
      <c r="E176" s="517" t="s">
        <v>23</v>
      </c>
      <c r="F176" s="517" t="s">
        <v>24</v>
      </c>
      <c r="G176" s="517" t="s">
        <v>25</v>
      </c>
      <c r="H176" s="517" t="s">
        <v>26</v>
      </c>
      <c r="I176" s="517" t="s">
        <v>27</v>
      </c>
      <c r="J176" s="517" t="s">
        <v>28</v>
      </c>
      <c r="K176" s="517" t="s">
        <v>29</v>
      </c>
      <c r="L176" s="517" t="s">
        <v>30</v>
      </c>
      <c r="M176" s="517" t="s">
        <v>31</v>
      </c>
      <c r="N176" s="674" t="s">
        <v>53</v>
      </c>
      <c r="P176" s="552" t="str">
        <f t="shared" si="84"/>
        <v>HVC bioolja</v>
      </c>
      <c r="Q176" s="527">
        <f>Q123/'ÄNDRINGSBARA PARAMETRAR'!B48*B185</f>
        <v>0</v>
      </c>
      <c r="R176" s="527">
        <f>R123/'ÄNDRINGSBARA PARAMETRAR'!C48*C185</f>
        <v>0</v>
      </c>
      <c r="S176" s="527">
        <f>S123/'ÄNDRINGSBARA PARAMETRAR'!D48*D185</f>
        <v>0</v>
      </c>
      <c r="T176" s="527">
        <f>T123/'ÄNDRINGSBARA PARAMETRAR'!E48*E185</f>
        <v>0</v>
      </c>
      <c r="U176" s="527">
        <f>U123/'ÄNDRINGSBARA PARAMETRAR'!F48*F185</f>
        <v>0</v>
      </c>
      <c r="V176" s="527">
        <f>V123/'ÄNDRINGSBARA PARAMETRAR'!G48*G185</f>
        <v>0</v>
      </c>
      <c r="W176" s="527">
        <f>W123/'ÄNDRINGSBARA PARAMETRAR'!H48*H185</f>
        <v>0</v>
      </c>
      <c r="X176" s="527">
        <f>X123/'ÄNDRINGSBARA PARAMETRAR'!I48*I185</f>
        <v>0</v>
      </c>
      <c r="Y176" s="527">
        <f>Y123/'ÄNDRINGSBARA PARAMETRAR'!J48*J185</f>
        <v>0</v>
      </c>
      <c r="Z176" s="527">
        <f>Z123/'ÄNDRINGSBARA PARAMETRAR'!K48*K185</f>
        <v>0</v>
      </c>
      <c r="AA176" s="527">
        <f>AA123/'ÄNDRINGSBARA PARAMETRAR'!L48*L185</f>
        <v>0</v>
      </c>
      <c r="AB176" s="527">
        <f>AB123/'ÄNDRINGSBARA PARAMETRAR'!M48*M185</f>
        <v>0</v>
      </c>
      <c r="AC176" s="553">
        <f t="shared" ref="AC176:AC184" si="85">SUM(Q176:AB176)</f>
        <v>0</v>
      </c>
    </row>
    <row r="177" spans="1:29" s="296" customFormat="1" x14ac:dyDescent="0.2">
      <c r="A177" s="136" t="s">
        <v>362</v>
      </c>
      <c r="B177" s="569">
        <f t="shared" ref="B177:M177" si="86">Q172</f>
        <v>146.2351542068526</v>
      </c>
      <c r="C177" s="569">
        <f t="shared" si="86"/>
        <v>137.84412937617401</v>
      </c>
      <c r="D177" s="569">
        <f t="shared" si="86"/>
        <v>49.936595084642079</v>
      </c>
      <c r="E177" s="569">
        <f t="shared" si="86"/>
        <v>-20.88908910142689</v>
      </c>
      <c r="F177" s="569">
        <f t="shared" si="86"/>
        <v>-1258.6921863301282</v>
      </c>
      <c r="G177" s="569">
        <f t="shared" si="86"/>
        <v>-1665.8487426463507</v>
      </c>
      <c r="H177" s="569">
        <f t="shared" si="86"/>
        <v>-1594.5386360218283</v>
      </c>
      <c r="I177" s="569">
        <f t="shared" si="86"/>
        <v>-1159.9266817948405</v>
      </c>
      <c r="J177" s="569">
        <f t="shared" si="86"/>
        <v>-864.43004501327891</v>
      </c>
      <c r="K177" s="569">
        <f t="shared" si="86"/>
        <v>-14.518669971508205</v>
      </c>
      <c r="L177" s="569">
        <f t="shared" si="86"/>
        <v>32.462126925847194</v>
      </c>
      <c r="M177" s="569">
        <f t="shared" si="86"/>
        <v>140.81190977999012</v>
      </c>
      <c r="N177" s="675">
        <f>SUM(B177:M177)</f>
        <v>-6071.5541355058558</v>
      </c>
      <c r="P177" s="552" t="str">
        <f t="shared" si="84"/>
        <v>HVC pellets</v>
      </c>
      <c r="Q177" s="527">
        <f>Q124/'ÄNDRINGSBARA PARAMETRAR'!B49*B186</f>
        <v>153.28154653657413</v>
      </c>
      <c r="R177" s="527">
        <f>R124/'ÄNDRINGSBARA PARAMETRAR'!C49*C186</f>
        <v>143.65035069371547</v>
      </c>
      <c r="S177" s="527">
        <f>S124/'ÄNDRINGSBARA PARAMETRAR'!D49*D186</f>
        <v>0</v>
      </c>
      <c r="T177" s="527">
        <f>T124/'ÄNDRINGSBARA PARAMETRAR'!E49*E186</f>
        <v>0</v>
      </c>
      <c r="U177" s="527">
        <f>U124/'ÄNDRINGSBARA PARAMETRAR'!F49*F186</f>
        <v>0</v>
      </c>
      <c r="V177" s="527">
        <f>V124/'ÄNDRINGSBARA PARAMETRAR'!G49*G186</f>
        <v>0</v>
      </c>
      <c r="W177" s="527">
        <f>W124/'ÄNDRINGSBARA PARAMETRAR'!H49*H186</f>
        <v>0</v>
      </c>
      <c r="X177" s="527">
        <f>X124/'ÄNDRINGSBARA PARAMETRAR'!I49*I186</f>
        <v>0</v>
      </c>
      <c r="Y177" s="527">
        <f>Y124/'ÄNDRINGSBARA PARAMETRAR'!J49*J186</f>
        <v>0</v>
      </c>
      <c r="Z177" s="527">
        <f>Z124/'ÄNDRINGSBARA PARAMETRAR'!K49*K186</f>
        <v>0</v>
      </c>
      <c r="AA177" s="527">
        <f>AA124/'ÄNDRINGSBARA PARAMETRAR'!L49*L186</f>
        <v>0</v>
      </c>
      <c r="AB177" s="527">
        <f>AB124/'ÄNDRINGSBARA PARAMETRAR'!M49*M186</f>
        <v>143.69051664590347</v>
      </c>
      <c r="AC177" s="553">
        <f t="shared" si="85"/>
        <v>440.62241387619304</v>
      </c>
    </row>
    <row r="178" spans="1:29" s="296" customFormat="1" x14ac:dyDescent="0.2">
      <c r="A178" s="303" t="str">
        <f>A128</f>
        <v>Allokeringsprincip:</v>
      </c>
      <c r="B178" s="108" t="str">
        <f>B128</f>
        <v>Kraft-bonus-metoden</v>
      </c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676"/>
      <c r="P178" s="552" t="str">
        <f t="shared" si="84"/>
        <v>KVV avfall</v>
      </c>
      <c r="Q178" s="527">
        <f>Q125/'ÄNDRINGSBARA PARAMETRAR'!B50*B187</f>
        <v>0</v>
      </c>
      <c r="R178" s="527">
        <f>R125/'ÄNDRINGSBARA PARAMETRAR'!C50*C187</f>
        <v>0</v>
      </c>
      <c r="S178" s="527">
        <f>S125/'ÄNDRINGSBARA PARAMETRAR'!D50*D187</f>
        <v>0</v>
      </c>
      <c r="T178" s="527">
        <f>T125/'ÄNDRINGSBARA PARAMETRAR'!E50*E187</f>
        <v>0</v>
      </c>
      <c r="U178" s="527">
        <f>U125/'ÄNDRINGSBARA PARAMETRAR'!F50*F187</f>
        <v>-136.30784887180781</v>
      </c>
      <c r="V178" s="527">
        <f>V125/'ÄNDRINGSBARA PARAMETRAR'!G50*G187</f>
        <v>-163.51256310730534</v>
      </c>
      <c r="W178" s="527">
        <f>W125/'ÄNDRINGSBARA PARAMETRAR'!H50*H187</f>
        <v>-127.84948561426233</v>
      </c>
      <c r="X178" s="527">
        <f>X125/'ÄNDRINGSBARA PARAMETRAR'!I50*I187</f>
        <v>-155.59135246984113</v>
      </c>
      <c r="Y178" s="527">
        <f>Y125/'ÄNDRINGSBARA PARAMETRAR'!J50*J187</f>
        <v>-116.55605837421648</v>
      </c>
      <c r="Z178" s="527">
        <f>Z125/'ÄNDRINGSBARA PARAMETRAR'!K50*K187</f>
        <v>0</v>
      </c>
      <c r="AA178" s="527">
        <f>AA125/'ÄNDRINGSBARA PARAMETRAR'!L50*L187</f>
        <v>0</v>
      </c>
      <c r="AB178" s="527">
        <f>AB125/'ÄNDRINGSBARA PARAMETRAR'!M50*M187</f>
        <v>0</v>
      </c>
      <c r="AC178" s="553">
        <f t="shared" si="85"/>
        <v>-699.8173084374331</v>
      </c>
    </row>
    <row r="179" spans="1:29" s="296" customFormat="1" x14ac:dyDescent="0.2">
      <c r="A179" s="110" t="str">
        <f>A129</f>
        <v>Typ av elmix :</v>
      </c>
      <c r="B179" s="111" t="str">
        <f>B129</f>
        <v>Marginalel</v>
      </c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677"/>
      <c r="P179" s="552" t="str">
        <f t="shared" si="84"/>
        <v>KVV grot</v>
      </c>
      <c r="Q179" s="527">
        <f>Q126/'ÄNDRINGSBARA PARAMETRAR'!B51*B188</f>
        <v>0</v>
      </c>
      <c r="R179" s="527">
        <f>R126/'ÄNDRINGSBARA PARAMETRAR'!C51*C188</f>
        <v>0</v>
      </c>
      <c r="S179" s="527">
        <f>S126/'ÄNDRINGSBARA PARAMETRAR'!D51*D188</f>
        <v>0</v>
      </c>
      <c r="T179" s="527">
        <f>T126/'ÄNDRINGSBARA PARAMETRAR'!E51*E188</f>
        <v>-177.39966549995845</v>
      </c>
      <c r="U179" s="527">
        <f>U126/'ÄNDRINGSBARA PARAMETRAR'!F51*F188</f>
        <v>-138.11779741451952</v>
      </c>
      <c r="V179" s="527">
        <f>V126/'ÄNDRINGSBARA PARAMETRAR'!G51*G188</f>
        <v>0</v>
      </c>
      <c r="W179" s="527">
        <f>W126/'ÄNDRINGSBARA PARAMETRAR'!H51*H188</f>
        <v>0</v>
      </c>
      <c r="X179" s="527">
        <f>X126/'ÄNDRINGSBARA PARAMETRAR'!I51*I188</f>
        <v>0</v>
      </c>
      <c r="Y179" s="527">
        <f>Y126/'ÄNDRINGSBARA PARAMETRAR'!J51*J188</f>
        <v>-118.1037349735078</v>
      </c>
      <c r="Z179" s="527">
        <f>Z126/'ÄNDRINGSBARA PARAMETRAR'!K51*K188</f>
        <v>-165.12617512764774</v>
      </c>
      <c r="AA179" s="527">
        <f>AA126/'ÄNDRINGSBARA PARAMETRAR'!L51*L188</f>
        <v>0</v>
      </c>
      <c r="AB179" s="527">
        <f>AB126/'ÄNDRINGSBARA PARAMETRAR'!M51*M188</f>
        <v>0</v>
      </c>
      <c r="AC179" s="553">
        <f t="shared" si="85"/>
        <v>-598.74737301563346</v>
      </c>
    </row>
    <row r="180" spans="1:29" s="296" customFormat="1" x14ac:dyDescent="0.2">
      <c r="A180" s="516" t="s">
        <v>374</v>
      </c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673"/>
      <c r="P180" s="552" t="str">
        <f t="shared" si="84"/>
        <v>Värmepump COP3</v>
      </c>
      <c r="Q180" s="527">
        <f>Q127/'ÄNDRINGSBARA PARAMETRAR'!B52*B189</f>
        <v>0</v>
      </c>
      <c r="R180" s="527">
        <f>R127/'ÄNDRINGSBARA PARAMETRAR'!C52*C189</f>
        <v>0</v>
      </c>
      <c r="S180" s="527">
        <f>S127/'ÄNDRINGSBARA PARAMETRAR'!D52*D189</f>
        <v>75.527198787768057</v>
      </c>
      <c r="T180" s="527">
        <f>T127/'ÄNDRINGSBARA PARAMETRAR'!E52*E189</f>
        <v>80.663539724054758</v>
      </c>
      <c r="U180" s="527">
        <f>U127/'ÄNDRINGSBARA PARAMETRAR'!F52*F189</f>
        <v>0</v>
      </c>
      <c r="V180" s="527">
        <f>V127/'ÄNDRINGSBARA PARAMETRAR'!G52*G189</f>
        <v>0</v>
      </c>
      <c r="W180" s="527">
        <f>W127/'ÄNDRINGSBARA PARAMETRAR'!H52*H189</f>
        <v>0</v>
      </c>
      <c r="X180" s="527">
        <f>X127/'ÄNDRINGSBARA PARAMETRAR'!I52*I189</f>
        <v>0</v>
      </c>
      <c r="Y180" s="527">
        <f>Y127/'ÄNDRINGSBARA PARAMETRAR'!J52*J189</f>
        <v>0</v>
      </c>
      <c r="Z180" s="527">
        <f>Z127/'ÄNDRINGSBARA PARAMETRAR'!K52*K189</f>
        <v>75.082789752460698</v>
      </c>
      <c r="AA180" s="527">
        <f>AA127/'ÄNDRINGSBARA PARAMETRAR'!L52*L189</f>
        <v>65.822762113794099</v>
      </c>
      <c r="AB180" s="527">
        <f>AB127/'ÄNDRINGSBARA PARAMETRAR'!M52*M189</f>
        <v>0</v>
      </c>
      <c r="AC180" s="553">
        <f t="shared" si="85"/>
        <v>297.09629037807764</v>
      </c>
    </row>
    <row r="181" spans="1:29" s="296" customFormat="1" x14ac:dyDescent="0.2">
      <c r="A181" s="1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668"/>
      <c r="P181" s="552" t="str">
        <f t="shared" si="84"/>
        <v>Spillvärme industri</v>
      </c>
      <c r="Q181" s="527">
        <f>Q128/'ÄNDRINGSBARA PARAMETRAR'!B53*B190</f>
        <v>0</v>
      </c>
      <c r="R181" s="527">
        <f>R128/'ÄNDRINGSBARA PARAMETRAR'!C53*C190</f>
        <v>0</v>
      </c>
      <c r="S181" s="527">
        <f>S128/'ÄNDRINGSBARA PARAMETRAR'!D53*D190</f>
        <v>0</v>
      </c>
      <c r="T181" s="527">
        <f>T128/'ÄNDRINGSBARA PARAMETRAR'!E53*E190</f>
        <v>0</v>
      </c>
      <c r="U181" s="527">
        <f>U128/'ÄNDRINGSBARA PARAMETRAR'!F53*F190</f>
        <v>0</v>
      </c>
      <c r="V181" s="527">
        <f>V128/'ÄNDRINGSBARA PARAMETRAR'!G53*G190</f>
        <v>0</v>
      </c>
      <c r="W181" s="527">
        <f>W128/'ÄNDRINGSBARA PARAMETRAR'!H53*H190</f>
        <v>0</v>
      </c>
      <c r="X181" s="527">
        <f>X128/'ÄNDRINGSBARA PARAMETRAR'!I53*I190</f>
        <v>0</v>
      </c>
      <c r="Y181" s="527">
        <f>Y128/'ÄNDRINGSBARA PARAMETRAR'!J53*J190</f>
        <v>0</v>
      </c>
      <c r="Z181" s="527">
        <f>Z128/'ÄNDRINGSBARA PARAMETRAR'!K53*K190</f>
        <v>0</v>
      </c>
      <c r="AA181" s="527">
        <f>AA128/'ÄNDRINGSBARA PARAMETRAR'!L53*L190</f>
        <v>0</v>
      </c>
      <c r="AB181" s="527">
        <f>AB128/'ÄNDRINGSBARA PARAMETRAR'!M53*M190</f>
        <v>0</v>
      </c>
      <c r="AC181" s="553">
        <f t="shared" si="85"/>
        <v>0</v>
      </c>
    </row>
    <row r="182" spans="1:29" x14ac:dyDescent="0.2">
      <c r="A182" s="522" t="s">
        <v>366</v>
      </c>
      <c r="B182" s="523"/>
      <c r="C182" s="523"/>
      <c r="D182" s="523"/>
      <c r="E182" s="523"/>
      <c r="F182" s="523"/>
      <c r="G182" s="523"/>
      <c r="H182" s="523"/>
      <c r="I182" s="523"/>
      <c r="J182" s="523"/>
      <c r="K182" s="523"/>
      <c r="L182" s="523"/>
      <c r="M182" s="524"/>
      <c r="N182" s="583"/>
      <c r="P182" s="552" t="str">
        <f t="shared" si="84"/>
        <v>HVC Gas</v>
      </c>
      <c r="Q182" s="527">
        <f>Q129/'ÄNDRINGSBARA PARAMETRAR'!B54*B191</f>
        <v>118.92915900780126</v>
      </c>
      <c r="R182" s="527">
        <f>R129/'ÄNDRINGSBARA PARAMETRAR'!C54*C191</f>
        <v>111.45643937708365</v>
      </c>
      <c r="S182" s="527">
        <f>S129/'ÄNDRINGSBARA PARAMETRAR'!D54*D191</f>
        <v>0</v>
      </c>
      <c r="T182" s="527">
        <f>T129/'ÄNDRINGSBARA PARAMETRAR'!E54*E191</f>
        <v>0</v>
      </c>
      <c r="U182" s="527">
        <f>U129/'ÄNDRINGSBARA PARAMETRAR'!F54*F191</f>
        <v>0</v>
      </c>
      <c r="V182" s="527">
        <f>V129/'ÄNDRINGSBARA PARAMETRAR'!G54*G191</f>
        <v>0</v>
      </c>
      <c r="W182" s="527">
        <f>W129/'ÄNDRINGSBARA PARAMETRAR'!H54*H191</f>
        <v>0</v>
      </c>
      <c r="X182" s="527">
        <f>X129/'ÄNDRINGSBARA PARAMETRAR'!I54*I191</f>
        <v>0</v>
      </c>
      <c r="Y182" s="527">
        <f>Y129/'ÄNDRINGSBARA PARAMETRAR'!J54*J191</f>
        <v>0</v>
      </c>
      <c r="Z182" s="527">
        <f>Z129/'ÄNDRINGSBARA PARAMETRAR'!K54*K191</f>
        <v>0</v>
      </c>
      <c r="AA182" s="527">
        <f>AA129/'ÄNDRINGSBARA PARAMETRAR'!L54*L191</f>
        <v>0</v>
      </c>
      <c r="AB182" s="527">
        <f>AB129/'ÄNDRINGSBARA PARAMETRAR'!M54*M191</f>
        <v>111.48760361715303</v>
      </c>
      <c r="AC182" s="553">
        <f t="shared" si="85"/>
        <v>341.87320200203794</v>
      </c>
    </row>
    <row r="183" spans="1:29" x14ac:dyDescent="0.2">
      <c r="A183" s="136" t="s">
        <v>363</v>
      </c>
      <c r="B183" s="562" t="s">
        <v>20</v>
      </c>
      <c r="C183" s="517" t="s">
        <v>21</v>
      </c>
      <c r="D183" s="517" t="s">
        <v>22</v>
      </c>
      <c r="E183" s="517" t="s">
        <v>23</v>
      </c>
      <c r="F183" s="517" t="s">
        <v>24</v>
      </c>
      <c r="G183" s="517" t="s">
        <v>25</v>
      </c>
      <c r="H183" s="517" t="s">
        <v>26</v>
      </c>
      <c r="I183" s="517" t="s">
        <v>27</v>
      </c>
      <c r="J183" s="517" t="s">
        <v>28</v>
      </c>
      <c r="K183" s="517" t="s">
        <v>29</v>
      </c>
      <c r="L183" s="517" t="s">
        <v>30</v>
      </c>
      <c r="M183" s="518" t="s">
        <v>31</v>
      </c>
      <c r="N183" s="668"/>
      <c r="P183" s="552" t="str">
        <f t="shared" si="84"/>
        <v>KVV Gas</v>
      </c>
      <c r="Q183" s="527">
        <f>Q130/'ÄNDRINGSBARA PARAMETRAR'!B55*B192</f>
        <v>167.81821892834475</v>
      </c>
      <c r="R183" s="527">
        <f>R130/'ÄNDRINGSBARA PARAMETRAR'!C55*C192</f>
        <v>157.27363499753898</v>
      </c>
      <c r="S183" s="527">
        <f>S130/'ÄNDRINGSBARA PARAMETRAR'!D55*D192</f>
        <v>115.63477380482838</v>
      </c>
      <c r="T183" s="527">
        <f>T130/'ÄNDRINGSBARA PARAMETRAR'!E55*E192</f>
        <v>0</v>
      </c>
      <c r="U183" s="527">
        <f>U130/'ÄNDRINGSBARA PARAMETRAR'!F55*F192</f>
        <v>0</v>
      </c>
      <c r="V183" s="527">
        <f>V130/'ÄNDRINGSBARA PARAMETRAR'!G55*G192</f>
        <v>0</v>
      </c>
      <c r="W183" s="527">
        <f>W130/'ÄNDRINGSBARA PARAMETRAR'!H55*H192</f>
        <v>0</v>
      </c>
      <c r="X183" s="527">
        <f>X130/'ÄNDRINGSBARA PARAMETRAR'!I55*I192</f>
        <v>0</v>
      </c>
      <c r="Y183" s="527">
        <f>Y130/'ÄNDRINGSBARA PARAMETRAR'!J55*J192</f>
        <v>0</v>
      </c>
      <c r="Z183" s="527">
        <f>Z130/'ÄNDRINGSBARA PARAMETRAR'!K55*K192</f>
        <v>0</v>
      </c>
      <c r="AA183" s="527">
        <f>AA130/'ÄNDRINGSBARA PARAMETRAR'!L55*L192</f>
        <v>100.77694301394249</v>
      </c>
      <c r="AB183" s="527">
        <f>AB130/'ÄNDRINGSBARA PARAMETRAR'!M55*M192</f>
        <v>157.3176101446461</v>
      </c>
      <c r="AC183" s="553">
        <f t="shared" si="85"/>
        <v>698.82118088930065</v>
      </c>
    </row>
    <row r="184" spans="1:29" x14ac:dyDescent="0.2">
      <c r="A184" s="138" t="str">
        <f t="shared" ref="A184:A193" si="87">A160</f>
        <v>HVC EO1</v>
      </c>
      <c r="B184" s="519">
        <f>INDEX(('INTERNA BERÄKNINGAR'!P45,'INTERNA BERÄKNINGAR'!P58,'INTERNA BERÄKNINGAR'!P71),1,1,INDATA!$J$75)</f>
        <v>1.3058823529411767</v>
      </c>
      <c r="C184" s="519">
        <f>INDEX(('INTERNA BERÄKNINGAR'!Q45,'INTERNA BERÄKNINGAR'!Q58,'INTERNA BERÄKNINGAR'!Q71),1,1,INDATA!$J$75)</f>
        <v>1.3058823529411767</v>
      </c>
      <c r="D184" s="519">
        <f>INDEX(('INTERNA BERÄKNINGAR'!R45,'INTERNA BERÄKNINGAR'!R58,'INTERNA BERÄKNINGAR'!R71),1,1,INDATA!$J$75)</f>
        <v>1.3058823529411767</v>
      </c>
      <c r="E184" s="519">
        <f>INDEX(('INTERNA BERÄKNINGAR'!S45,'INTERNA BERÄKNINGAR'!S58,'INTERNA BERÄKNINGAR'!S71),1,1,INDATA!$J$75)</f>
        <v>1.3058823529411767</v>
      </c>
      <c r="F184" s="519">
        <f>INDEX(('INTERNA BERÄKNINGAR'!T45,'INTERNA BERÄKNINGAR'!T58,'INTERNA BERÄKNINGAR'!T71),1,1,INDATA!$J$75)</f>
        <v>1.3058823529411767</v>
      </c>
      <c r="G184" s="519">
        <f>INDEX(('INTERNA BERÄKNINGAR'!U45,'INTERNA BERÄKNINGAR'!U58,'INTERNA BERÄKNINGAR'!U71),1,1,INDATA!$J$75)</f>
        <v>1.3058823529411767</v>
      </c>
      <c r="H184" s="519">
        <f>INDEX(('INTERNA BERÄKNINGAR'!V45,'INTERNA BERÄKNINGAR'!V58,'INTERNA BERÄKNINGAR'!V71),1,1,INDATA!$J$75)</f>
        <v>1.3058823529411767</v>
      </c>
      <c r="I184" s="519">
        <f>INDEX(('INTERNA BERÄKNINGAR'!W45,'INTERNA BERÄKNINGAR'!W58,'INTERNA BERÄKNINGAR'!W71),1,1,INDATA!$J$75)</f>
        <v>1.3058823529411767</v>
      </c>
      <c r="J184" s="519">
        <f>INDEX(('INTERNA BERÄKNINGAR'!X45,'INTERNA BERÄKNINGAR'!X58,'INTERNA BERÄKNINGAR'!X71),1,1,INDATA!$J$75)</f>
        <v>1.3058823529411767</v>
      </c>
      <c r="K184" s="519">
        <f>INDEX(('INTERNA BERÄKNINGAR'!Y45,'INTERNA BERÄKNINGAR'!Y58,'INTERNA BERÄKNINGAR'!Y71),1,1,INDATA!$J$75)</f>
        <v>1.3058823529411767</v>
      </c>
      <c r="L184" s="519">
        <f>INDEX(('INTERNA BERÄKNINGAR'!Z45,'INTERNA BERÄKNINGAR'!Z58,'INTERNA BERÄKNINGAR'!Z71),1,1,INDATA!$J$75)</f>
        <v>1.3058823529411767</v>
      </c>
      <c r="M184" s="558">
        <f>INDEX(('INTERNA BERÄKNINGAR'!AA45,'INTERNA BERÄKNINGAR'!AA58,'INTERNA BERÄKNINGAR'!AA71),1,1,INDATA!$J$75)</f>
        <v>1.3058823529411767</v>
      </c>
      <c r="N184" s="668"/>
      <c r="P184" s="552" t="str">
        <f t="shared" si="84"/>
        <v>Valfri 3</v>
      </c>
      <c r="Q184" s="527">
        <f>Q131/'ÄNDRINGSBARA PARAMETRAR'!B56*B193</f>
        <v>0</v>
      </c>
      <c r="R184" s="527">
        <f>R131/'ÄNDRINGSBARA PARAMETRAR'!C56*C193</f>
        <v>0</v>
      </c>
      <c r="S184" s="527">
        <f>S131/'ÄNDRINGSBARA PARAMETRAR'!D56*D193</f>
        <v>0</v>
      </c>
      <c r="T184" s="527">
        <f>T131/'ÄNDRINGSBARA PARAMETRAR'!E56*E193</f>
        <v>0</v>
      </c>
      <c r="U184" s="527">
        <f>U131/'ÄNDRINGSBARA PARAMETRAR'!F56*F193</f>
        <v>0</v>
      </c>
      <c r="V184" s="527">
        <f>V131/'ÄNDRINGSBARA PARAMETRAR'!G56*G193</f>
        <v>0</v>
      </c>
      <c r="W184" s="527">
        <f>W131/'ÄNDRINGSBARA PARAMETRAR'!H56*H193</f>
        <v>0</v>
      </c>
      <c r="X184" s="527">
        <f>X131/'ÄNDRINGSBARA PARAMETRAR'!I56*I193</f>
        <v>0</v>
      </c>
      <c r="Y184" s="527">
        <f>Y131/'ÄNDRINGSBARA PARAMETRAR'!J56*J193</f>
        <v>0</v>
      </c>
      <c r="Z184" s="527">
        <f>Z131/'ÄNDRINGSBARA PARAMETRAR'!K56*K193</f>
        <v>0</v>
      </c>
      <c r="AA184" s="527">
        <f>AA131/'ÄNDRINGSBARA PARAMETRAR'!L56*L193</f>
        <v>0</v>
      </c>
      <c r="AB184" s="527">
        <f>AB131/'ÄNDRINGSBARA PARAMETRAR'!M56*M193</f>
        <v>0</v>
      </c>
      <c r="AC184" s="553">
        <f t="shared" si="85"/>
        <v>0</v>
      </c>
    </row>
    <row r="185" spans="1:29" ht="16" thickBot="1" x14ac:dyDescent="0.25">
      <c r="A185" s="138" t="str">
        <f t="shared" si="87"/>
        <v>HVC bioolja</v>
      </c>
      <c r="B185" s="519">
        <f>INDEX(('INTERNA BERÄKNINGAR'!P46,'INTERNA BERÄKNINGAR'!P59,'INTERNA BERÄKNINGAR'!P72),1,1,INDATA!$J$75)</f>
        <v>4.4444444444444446E-2</v>
      </c>
      <c r="C185" s="519">
        <f>INDEX(('INTERNA BERÄKNINGAR'!Q46,'INTERNA BERÄKNINGAR'!Q59,'INTERNA BERÄKNINGAR'!Q72),1,1,INDATA!$J$75)</f>
        <v>4.4444444444444446E-2</v>
      </c>
      <c r="D185" s="519">
        <f>INDEX(('INTERNA BERÄKNINGAR'!R46,'INTERNA BERÄKNINGAR'!R59,'INTERNA BERÄKNINGAR'!R72),1,1,INDATA!$J$75)</f>
        <v>4.4444444444444446E-2</v>
      </c>
      <c r="E185" s="519">
        <f>INDEX(('INTERNA BERÄKNINGAR'!S46,'INTERNA BERÄKNINGAR'!S59,'INTERNA BERÄKNINGAR'!S72),1,1,INDATA!$J$75)</f>
        <v>4.4444444444444446E-2</v>
      </c>
      <c r="F185" s="519">
        <f>INDEX(('INTERNA BERÄKNINGAR'!T46,'INTERNA BERÄKNINGAR'!T59,'INTERNA BERÄKNINGAR'!T72),1,1,INDATA!$J$75)</f>
        <v>4.4444444444444446E-2</v>
      </c>
      <c r="G185" s="519">
        <f>INDEX(('INTERNA BERÄKNINGAR'!U46,'INTERNA BERÄKNINGAR'!U59,'INTERNA BERÄKNINGAR'!U72),1,1,INDATA!$J$75)</f>
        <v>4.4444444444444446E-2</v>
      </c>
      <c r="H185" s="519">
        <f>INDEX(('INTERNA BERÄKNINGAR'!V46,'INTERNA BERÄKNINGAR'!V59,'INTERNA BERÄKNINGAR'!V72),1,1,INDATA!$J$75)</f>
        <v>4.4444444444444446E-2</v>
      </c>
      <c r="I185" s="519">
        <f>INDEX(('INTERNA BERÄKNINGAR'!W46,'INTERNA BERÄKNINGAR'!W59,'INTERNA BERÄKNINGAR'!W72),1,1,INDATA!$J$75)</f>
        <v>4.4444444444444446E-2</v>
      </c>
      <c r="J185" s="519">
        <f>INDEX(('INTERNA BERÄKNINGAR'!X46,'INTERNA BERÄKNINGAR'!X59,'INTERNA BERÄKNINGAR'!X72),1,1,INDATA!$J$75)</f>
        <v>4.4444444444444446E-2</v>
      </c>
      <c r="K185" s="519">
        <f>INDEX(('INTERNA BERÄKNINGAR'!Y46,'INTERNA BERÄKNINGAR'!Y59,'INTERNA BERÄKNINGAR'!Y72),1,1,INDATA!$J$75)</f>
        <v>4.4444444444444446E-2</v>
      </c>
      <c r="L185" s="519">
        <f>INDEX(('INTERNA BERÄKNINGAR'!Z46,'INTERNA BERÄKNINGAR'!Z59,'INTERNA BERÄKNINGAR'!Z72),1,1,INDATA!$J$75)</f>
        <v>4.4444444444444446E-2</v>
      </c>
      <c r="M185" s="558">
        <f>INDEX(('INTERNA BERÄKNINGAR'!AA46,'INTERNA BERÄKNINGAR'!AA59,'INTERNA BERÄKNINGAR'!AA72),1,1,INDATA!$J$75)</f>
        <v>4.4444444444444446E-2</v>
      </c>
      <c r="N185" s="668"/>
      <c r="P185" s="555" t="s">
        <v>308</v>
      </c>
      <c r="Q185" s="556">
        <f>SUM(Q175:Q184)</f>
        <v>440.02892447272018</v>
      </c>
      <c r="R185" s="556">
        <f t="shared" ref="R185:AA185" si="88">SUM(R175:R184)</f>
        <v>412.38042506833813</v>
      </c>
      <c r="S185" s="556">
        <f t="shared" si="88"/>
        <v>191.16197259259644</v>
      </c>
      <c r="T185" s="556">
        <f t="shared" si="88"/>
        <v>-96.736125775903687</v>
      </c>
      <c r="U185" s="556">
        <f t="shared" si="88"/>
        <v>-274.42564628632732</v>
      </c>
      <c r="V185" s="556">
        <f t="shared" si="88"/>
        <v>-163.51256310730534</v>
      </c>
      <c r="W185" s="556">
        <f t="shared" si="88"/>
        <v>-127.84948561426233</v>
      </c>
      <c r="X185" s="556">
        <f t="shared" si="88"/>
        <v>-155.59135246984113</v>
      </c>
      <c r="Y185" s="556">
        <f t="shared" si="88"/>
        <v>-234.65979334772427</v>
      </c>
      <c r="Z185" s="556">
        <f t="shared" si="88"/>
        <v>-90.043385375187043</v>
      </c>
      <c r="AA185" s="556">
        <f t="shared" si="88"/>
        <v>166.59970512773657</v>
      </c>
      <c r="AB185" s="556">
        <f>SUM(AB175:AB184)</f>
        <v>412.49573040770258</v>
      </c>
      <c r="AC185" s="557">
        <f>SUM(AC175:AC184)</f>
        <v>479.84840569254266</v>
      </c>
    </row>
    <row r="186" spans="1:29" x14ac:dyDescent="0.2">
      <c r="A186" s="138" t="str">
        <f t="shared" si="87"/>
        <v>HVC pellets</v>
      </c>
      <c r="B186" s="519">
        <f>INDEX(('INTERNA BERÄKNINGAR'!P47,'INTERNA BERÄKNINGAR'!P60,'INTERNA BERÄKNINGAR'!P73),1,1,INDATA!$J$75)</f>
        <v>1.3875000000000002</v>
      </c>
      <c r="C186" s="519">
        <f>INDEX(('INTERNA BERÄKNINGAR'!Q47,'INTERNA BERÄKNINGAR'!Q60,'INTERNA BERÄKNINGAR'!Q73),1,1,INDATA!$J$75)</f>
        <v>1.3875000000000002</v>
      </c>
      <c r="D186" s="519">
        <f>INDEX(('INTERNA BERÄKNINGAR'!R47,'INTERNA BERÄKNINGAR'!R60,'INTERNA BERÄKNINGAR'!R73),1,1,INDATA!$J$75)</f>
        <v>1.3875000000000002</v>
      </c>
      <c r="E186" s="519">
        <f>INDEX(('INTERNA BERÄKNINGAR'!S47,'INTERNA BERÄKNINGAR'!S60,'INTERNA BERÄKNINGAR'!S73),1,1,INDATA!$J$75)</f>
        <v>1.3875000000000002</v>
      </c>
      <c r="F186" s="519">
        <f>INDEX(('INTERNA BERÄKNINGAR'!T47,'INTERNA BERÄKNINGAR'!T60,'INTERNA BERÄKNINGAR'!T73),1,1,INDATA!$J$75)</f>
        <v>1.3875000000000002</v>
      </c>
      <c r="G186" s="519">
        <f>INDEX(('INTERNA BERÄKNINGAR'!U47,'INTERNA BERÄKNINGAR'!U60,'INTERNA BERÄKNINGAR'!U73),1,1,INDATA!$J$75)</f>
        <v>1.3875000000000002</v>
      </c>
      <c r="H186" s="519">
        <f>INDEX(('INTERNA BERÄKNINGAR'!V47,'INTERNA BERÄKNINGAR'!V60,'INTERNA BERÄKNINGAR'!V73),1,1,INDATA!$J$75)</f>
        <v>1.3875000000000002</v>
      </c>
      <c r="I186" s="519">
        <f>INDEX(('INTERNA BERÄKNINGAR'!W47,'INTERNA BERÄKNINGAR'!W60,'INTERNA BERÄKNINGAR'!W73),1,1,INDATA!$J$75)</f>
        <v>1.3875000000000002</v>
      </c>
      <c r="J186" s="519">
        <f>INDEX(('INTERNA BERÄKNINGAR'!X47,'INTERNA BERÄKNINGAR'!X60,'INTERNA BERÄKNINGAR'!X73),1,1,INDATA!$J$75)</f>
        <v>1.3875000000000002</v>
      </c>
      <c r="K186" s="519">
        <f>INDEX(('INTERNA BERÄKNINGAR'!Y47,'INTERNA BERÄKNINGAR'!Y60,'INTERNA BERÄKNINGAR'!Y73),1,1,INDATA!$J$75)</f>
        <v>1.3875000000000002</v>
      </c>
      <c r="L186" s="519">
        <f>INDEX(('INTERNA BERÄKNINGAR'!Z47,'INTERNA BERÄKNINGAR'!Z60,'INTERNA BERÄKNINGAR'!Z73),1,1,INDATA!$J$75)</f>
        <v>1.3875000000000002</v>
      </c>
      <c r="M186" s="558">
        <f>INDEX(('INTERNA BERÄKNINGAR'!AA47,'INTERNA BERÄKNINGAR'!AA60,'INTERNA BERÄKNINGAR'!AA73),1,1,INDATA!$J$75)</f>
        <v>1.3875000000000002</v>
      </c>
      <c r="N186" s="668"/>
    </row>
    <row r="187" spans="1:29" x14ac:dyDescent="0.2">
      <c r="A187" s="138" t="str">
        <f t="shared" si="87"/>
        <v>KVV avfall</v>
      </c>
      <c r="B187" s="519">
        <f>INDEX(('INTERNA BERÄKNINGAR'!P48,'INTERNA BERÄKNINGAR'!P61,'INTERNA BERÄKNINGAR'!P74),1,1,INDATA!$J$75)</f>
        <v>-1.0041379310344827</v>
      </c>
      <c r="C187" s="519">
        <f>INDEX(('INTERNA BERÄKNINGAR'!Q48,'INTERNA BERÄKNINGAR'!Q61,'INTERNA BERÄKNINGAR'!Q74),1,1,INDATA!$J$75)</f>
        <v>-1.0041379310344827</v>
      </c>
      <c r="D187" s="519">
        <f>INDEX(('INTERNA BERÄKNINGAR'!R48,'INTERNA BERÄKNINGAR'!R61,'INTERNA BERÄKNINGAR'!R74),1,1,INDATA!$J$75)</f>
        <v>-1.0041379310344827</v>
      </c>
      <c r="E187" s="519">
        <f>INDEX(('INTERNA BERÄKNINGAR'!S48,'INTERNA BERÄKNINGAR'!S61,'INTERNA BERÄKNINGAR'!S74),1,1,INDATA!$J$75)</f>
        <v>-1.0041379310344827</v>
      </c>
      <c r="F187" s="519">
        <f>INDEX(('INTERNA BERÄKNINGAR'!T48,'INTERNA BERÄKNINGAR'!T61,'INTERNA BERÄKNINGAR'!T74),1,1,INDATA!$J$75)</f>
        <v>-1.0041379310344827</v>
      </c>
      <c r="G187" s="519">
        <f>INDEX(('INTERNA BERÄKNINGAR'!U48,'INTERNA BERÄKNINGAR'!U61,'INTERNA BERÄKNINGAR'!U74),1,1,INDATA!$J$75)</f>
        <v>-1.0041379310344827</v>
      </c>
      <c r="H187" s="519">
        <f>INDEX(('INTERNA BERÄKNINGAR'!V48,'INTERNA BERÄKNINGAR'!V61,'INTERNA BERÄKNINGAR'!V74),1,1,INDATA!$J$75)</f>
        <v>-1.0041379310344827</v>
      </c>
      <c r="I187" s="519">
        <f>INDEX(('INTERNA BERÄKNINGAR'!W48,'INTERNA BERÄKNINGAR'!W61,'INTERNA BERÄKNINGAR'!W74),1,1,INDATA!$J$75)</f>
        <v>-1.0041379310344827</v>
      </c>
      <c r="J187" s="519">
        <f>INDEX(('INTERNA BERÄKNINGAR'!X48,'INTERNA BERÄKNINGAR'!X61,'INTERNA BERÄKNINGAR'!X74),1,1,INDATA!$J$75)</f>
        <v>-1.0041379310344827</v>
      </c>
      <c r="K187" s="519">
        <f>INDEX(('INTERNA BERÄKNINGAR'!Y48,'INTERNA BERÄKNINGAR'!Y61,'INTERNA BERÄKNINGAR'!Y74),1,1,INDATA!$J$75)</f>
        <v>-1.0041379310344827</v>
      </c>
      <c r="L187" s="519">
        <f>INDEX(('INTERNA BERÄKNINGAR'!Z48,'INTERNA BERÄKNINGAR'!Z61,'INTERNA BERÄKNINGAR'!Z74),1,1,INDATA!$J$75)</f>
        <v>-1.0041379310344827</v>
      </c>
      <c r="M187" s="558">
        <f>INDEX(('INTERNA BERÄKNINGAR'!AA48,'INTERNA BERÄKNINGAR'!AA61,'INTERNA BERÄKNINGAR'!AA74),1,1,INDATA!$J$75)</f>
        <v>-1.0041379310344827</v>
      </c>
      <c r="N187" s="668"/>
    </row>
    <row r="188" spans="1:29" x14ac:dyDescent="0.2">
      <c r="A188" s="138" t="str">
        <f t="shared" si="87"/>
        <v>KVV grot</v>
      </c>
      <c r="B188" s="519">
        <f>INDEX(('INTERNA BERÄKNINGAR'!P49,'INTERNA BERÄKNINGAR'!P62,'INTERNA BERÄKNINGAR'!P75),1,1,INDATA!$J$75)</f>
        <v>-1.0174712643678159</v>
      </c>
      <c r="C188" s="519">
        <f>INDEX(('INTERNA BERÄKNINGAR'!Q49,'INTERNA BERÄKNINGAR'!Q62,'INTERNA BERÄKNINGAR'!Q75),1,1,INDATA!$J$75)</f>
        <v>-1.0174712643678159</v>
      </c>
      <c r="D188" s="519">
        <f>INDEX(('INTERNA BERÄKNINGAR'!R49,'INTERNA BERÄKNINGAR'!R62,'INTERNA BERÄKNINGAR'!R75),1,1,INDATA!$J$75)</f>
        <v>-1.0174712643678159</v>
      </c>
      <c r="E188" s="519">
        <f>INDEX(('INTERNA BERÄKNINGAR'!S49,'INTERNA BERÄKNINGAR'!S62,'INTERNA BERÄKNINGAR'!S75),1,1,INDATA!$J$75)</f>
        <v>-1.0174712643678159</v>
      </c>
      <c r="F188" s="519">
        <f>INDEX(('INTERNA BERÄKNINGAR'!T49,'INTERNA BERÄKNINGAR'!T62,'INTERNA BERÄKNINGAR'!T75),1,1,INDATA!$J$75)</f>
        <v>-1.0174712643678159</v>
      </c>
      <c r="G188" s="519">
        <f>INDEX(('INTERNA BERÄKNINGAR'!U49,'INTERNA BERÄKNINGAR'!U62,'INTERNA BERÄKNINGAR'!U75),1,1,INDATA!$J$75)</f>
        <v>-1.0174712643678159</v>
      </c>
      <c r="H188" s="519">
        <f>INDEX(('INTERNA BERÄKNINGAR'!V49,'INTERNA BERÄKNINGAR'!V62,'INTERNA BERÄKNINGAR'!V75),1,1,INDATA!$J$75)</f>
        <v>-1.0174712643678159</v>
      </c>
      <c r="I188" s="519">
        <f>INDEX(('INTERNA BERÄKNINGAR'!W49,'INTERNA BERÄKNINGAR'!W62,'INTERNA BERÄKNINGAR'!W75),1,1,INDATA!$J$75)</f>
        <v>-1.0174712643678159</v>
      </c>
      <c r="J188" s="519">
        <f>INDEX(('INTERNA BERÄKNINGAR'!X49,'INTERNA BERÄKNINGAR'!X62,'INTERNA BERÄKNINGAR'!X75),1,1,INDATA!$J$75)</f>
        <v>-1.0174712643678159</v>
      </c>
      <c r="K188" s="519">
        <f>INDEX(('INTERNA BERÄKNINGAR'!Y49,'INTERNA BERÄKNINGAR'!Y62,'INTERNA BERÄKNINGAR'!Y75),1,1,INDATA!$J$75)</f>
        <v>-1.0174712643678159</v>
      </c>
      <c r="L188" s="519">
        <f>INDEX(('INTERNA BERÄKNINGAR'!Z49,'INTERNA BERÄKNINGAR'!Z62,'INTERNA BERÄKNINGAR'!Z75),1,1,INDATA!$J$75)</f>
        <v>-1.0174712643678159</v>
      </c>
      <c r="M188" s="558">
        <f>INDEX(('INTERNA BERÄKNINGAR'!AA49,'INTERNA BERÄKNINGAR'!AA62,'INTERNA BERÄKNINGAR'!AA75),1,1,INDATA!$J$75)</f>
        <v>-1.0174712643678159</v>
      </c>
      <c r="N188" s="668"/>
    </row>
    <row r="189" spans="1:29" x14ac:dyDescent="0.2">
      <c r="A189" s="138" t="str">
        <f t="shared" si="87"/>
        <v>Värmepump COP3</v>
      </c>
      <c r="B189" s="519">
        <f>INDEX(('INTERNA BERÄKNINGAR'!P50,'INTERNA BERÄKNINGAR'!P63,'INTERNA BERÄKNINGAR'!P76),1,1,INDATA!$J$75)</f>
        <v>0.88122605363984663</v>
      </c>
      <c r="C189" s="519">
        <f>INDEX(('INTERNA BERÄKNINGAR'!Q50,'INTERNA BERÄKNINGAR'!Q63,'INTERNA BERÄKNINGAR'!Q76),1,1,INDATA!$J$75)</f>
        <v>0.88122605363984663</v>
      </c>
      <c r="D189" s="519">
        <f>INDEX(('INTERNA BERÄKNINGAR'!R50,'INTERNA BERÄKNINGAR'!R63,'INTERNA BERÄKNINGAR'!R76),1,1,INDATA!$J$75)</f>
        <v>0.88122605363984663</v>
      </c>
      <c r="E189" s="519">
        <f>INDEX(('INTERNA BERÄKNINGAR'!S50,'INTERNA BERÄKNINGAR'!S63,'INTERNA BERÄKNINGAR'!S76),1,1,INDATA!$J$75)</f>
        <v>0.88122605363984663</v>
      </c>
      <c r="F189" s="519">
        <f>INDEX(('INTERNA BERÄKNINGAR'!T50,'INTERNA BERÄKNINGAR'!T63,'INTERNA BERÄKNINGAR'!T76),1,1,INDATA!$J$75)</f>
        <v>0.88122605363984663</v>
      </c>
      <c r="G189" s="519">
        <f>INDEX(('INTERNA BERÄKNINGAR'!U50,'INTERNA BERÄKNINGAR'!U63,'INTERNA BERÄKNINGAR'!U76),1,1,INDATA!$J$75)</f>
        <v>0.88122605363984663</v>
      </c>
      <c r="H189" s="519">
        <f>INDEX(('INTERNA BERÄKNINGAR'!V50,'INTERNA BERÄKNINGAR'!V63,'INTERNA BERÄKNINGAR'!V76),1,1,INDATA!$J$75)</f>
        <v>0.88122605363984663</v>
      </c>
      <c r="I189" s="519">
        <f>INDEX(('INTERNA BERÄKNINGAR'!W50,'INTERNA BERÄKNINGAR'!W63,'INTERNA BERÄKNINGAR'!W76),1,1,INDATA!$J$75)</f>
        <v>0.88122605363984663</v>
      </c>
      <c r="J189" s="519">
        <f>INDEX(('INTERNA BERÄKNINGAR'!X50,'INTERNA BERÄKNINGAR'!X63,'INTERNA BERÄKNINGAR'!X76),1,1,INDATA!$J$75)</f>
        <v>0.88122605363984663</v>
      </c>
      <c r="K189" s="519">
        <f>INDEX(('INTERNA BERÄKNINGAR'!Y50,'INTERNA BERÄKNINGAR'!Y63,'INTERNA BERÄKNINGAR'!Y76),1,1,INDATA!$J$75)</f>
        <v>0.88122605363984663</v>
      </c>
      <c r="L189" s="519">
        <f>INDEX(('INTERNA BERÄKNINGAR'!Z50,'INTERNA BERÄKNINGAR'!Z63,'INTERNA BERÄKNINGAR'!Z76),1,1,INDATA!$J$75)</f>
        <v>0.88122605363984663</v>
      </c>
      <c r="M189" s="558">
        <f>INDEX(('INTERNA BERÄKNINGAR'!AA50,'INTERNA BERÄKNINGAR'!AA63,'INTERNA BERÄKNINGAR'!AA76),1,1,INDATA!$J$75)</f>
        <v>0.88122605363984663</v>
      </c>
      <c r="N189" s="668"/>
    </row>
    <row r="190" spans="1:29" x14ac:dyDescent="0.2">
      <c r="A190" s="138" t="str">
        <f t="shared" si="87"/>
        <v>Spillvärme industri</v>
      </c>
      <c r="B190" s="519">
        <f>INDEX(('INTERNA BERÄKNINGAR'!P51,'INTERNA BERÄKNINGAR'!P64,'INTERNA BERÄKNINGAR'!P77),1,1,INDATA!$J$75)</f>
        <v>0</v>
      </c>
      <c r="C190" s="519">
        <f>INDEX(('INTERNA BERÄKNINGAR'!Q51,'INTERNA BERÄKNINGAR'!Q64,'INTERNA BERÄKNINGAR'!Q77),1,1,INDATA!$J$75)</f>
        <v>0</v>
      </c>
      <c r="D190" s="519">
        <f>INDEX(('INTERNA BERÄKNINGAR'!R51,'INTERNA BERÄKNINGAR'!R64,'INTERNA BERÄKNINGAR'!R77),1,1,INDATA!$J$75)</f>
        <v>0</v>
      </c>
      <c r="E190" s="519">
        <f>INDEX(('INTERNA BERÄKNINGAR'!S51,'INTERNA BERÄKNINGAR'!S64,'INTERNA BERÄKNINGAR'!S77),1,1,INDATA!$J$75)</f>
        <v>0</v>
      </c>
      <c r="F190" s="519">
        <f>INDEX(('INTERNA BERÄKNINGAR'!T51,'INTERNA BERÄKNINGAR'!T64,'INTERNA BERÄKNINGAR'!T77),1,1,INDATA!$J$75)</f>
        <v>0</v>
      </c>
      <c r="G190" s="519">
        <f>INDEX(('INTERNA BERÄKNINGAR'!U51,'INTERNA BERÄKNINGAR'!U64,'INTERNA BERÄKNINGAR'!U77),1,1,INDATA!$J$75)</f>
        <v>0</v>
      </c>
      <c r="H190" s="519">
        <f>INDEX(('INTERNA BERÄKNINGAR'!V51,'INTERNA BERÄKNINGAR'!V64,'INTERNA BERÄKNINGAR'!V77),1,1,INDATA!$J$75)</f>
        <v>0</v>
      </c>
      <c r="I190" s="519">
        <f>INDEX(('INTERNA BERÄKNINGAR'!W51,'INTERNA BERÄKNINGAR'!W64,'INTERNA BERÄKNINGAR'!W77),1,1,INDATA!$J$75)</f>
        <v>0</v>
      </c>
      <c r="J190" s="519">
        <f>INDEX(('INTERNA BERÄKNINGAR'!X51,'INTERNA BERÄKNINGAR'!X64,'INTERNA BERÄKNINGAR'!X77),1,1,INDATA!$J$75)</f>
        <v>0</v>
      </c>
      <c r="K190" s="519">
        <f>INDEX(('INTERNA BERÄKNINGAR'!Y51,'INTERNA BERÄKNINGAR'!Y64,'INTERNA BERÄKNINGAR'!Y77),1,1,INDATA!$J$75)</f>
        <v>0</v>
      </c>
      <c r="L190" s="519">
        <f>INDEX(('INTERNA BERÄKNINGAR'!Z51,'INTERNA BERÄKNINGAR'!Z64,'INTERNA BERÄKNINGAR'!Z77),1,1,INDATA!$J$75)</f>
        <v>0</v>
      </c>
      <c r="M190" s="558">
        <f>INDEX(('INTERNA BERÄKNINGAR'!AA51,'INTERNA BERÄKNINGAR'!AA64,'INTERNA BERÄKNINGAR'!AA77),1,1,INDATA!$J$75)</f>
        <v>0</v>
      </c>
      <c r="N190" s="668"/>
    </row>
    <row r="191" spans="1:29" x14ac:dyDescent="0.2">
      <c r="A191" s="138" t="str">
        <f t="shared" si="87"/>
        <v>HVC Gas</v>
      </c>
      <c r="B191" s="519">
        <f>INDEX(('INTERNA BERÄKNINGAR'!P52,'INTERNA BERÄKNINGAR'!P65,'INTERNA BERÄKNINGAR'!P78),1,1,INDATA!$J$75)</f>
        <v>1.2111111111111112</v>
      </c>
      <c r="C191" s="519">
        <f>INDEX(('INTERNA BERÄKNINGAR'!Q52,'INTERNA BERÄKNINGAR'!Q65,'INTERNA BERÄKNINGAR'!Q78),1,1,INDATA!$J$75)</f>
        <v>1.2111111111111112</v>
      </c>
      <c r="D191" s="519">
        <f>INDEX(('INTERNA BERÄKNINGAR'!R52,'INTERNA BERÄKNINGAR'!R65,'INTERNA BERÄKNINGAR'!R78),1,1,INDATA!$J$75)</f>
        <v>1.2111111111111112</v>
      </c>
      <c r="E191" s="519">
        <f>INDEX(('INTERNA BERÄKNINGAR'!S52,'INTERNA BERÄKNINGAR'!S65,'INTERNA BERÄKNINGAR'!S78),1,1,INDATA!$J$75)</f>
        <v>1.2111111111111112</v>
      </c>
      <c r="F191" s="519">
        <f>INDEX(('INTERNA BERÄKNINGAR'!T52,'INTERNA BERÄKNINGAR'!T65,'INTERNA BERÄKNINGAR'!T78),1,1,INDATA!$J$75)</f>
        <v>1.2111111111111112</v>
      </c>
      <c r="G191" s="519">
        <f>INDEX(('INTERNA BERÄKNINGAR'!U52,'INTERNA BERÄKNINGAR'!U65,'INTERNA BERÄKNINGAR'!U78),1,1,INDATA!$J$75)</f>
        <v>1.2111111111111112</v>
      </c>
      <c r="H191" s="519">
        <f>INDEX(('INTERNA BERÄKNINGAR'!V52,'INTERNA BERÄKNINGAR'!V65,'INTERNA BERÄKNINGAR'!V78),1,1,INDATA!$J$75)</f>
        <v>1.2111111111111112</v>
      </c>
      <c r="I191" s="519">
        <f>INDEX(('INTERNA BERÄKNINGAR'!W52,'INTERNA BERÄKNINGAR'!W65,'INTERNA BERÄKNINGAR'!W78),1,1,INDATA!$J$75)</f>
        <v>1.2111111111111112</v>
      </c>
      <c r="J191" s="519">
        <f>INDEX(('INTERNA BERÄKNINGAR'!X52,'INTERNA BERÄKNINGAR'!X65,'INTERNA BERÄKNINGAR'!X78),1,1,INDATA!$J$75)</f>
        <v>1.2111111111111112</v>
      </c>
      <c r="K191" s="519">
        <f>INDEX(('INTERNA BERÄKNINGAR'!Y52,'INTERNA BERÄKNINGAR'!Y65,'INTERNA BERÄKNINGAR'!Y78),1,1,INDATA!$J$75)</f>
        <v>1.2111111111111112</v>
      </c>
      <c r="L191" s="519">
        <f>INDEX(('INTERNA BERÄKNINGAR'!Z52,'INTERNA BERÄKNINGAR'!Z65,'INTERNA BERÄKNINGAR'!Z78),1,1,INDATA!$J$75)</f>
        <v>1.2111111111111112</v>
      </c>
      <c r="M191" s="558">
        <f>INDEX(('INTERNA BERÄKNINGAR'!AA52,'INTERNA BERÄKNINGAR'!AA65,'INTERNA BERÄKNINGAR'!AA78),1,1,INDATA!$J$75)</f>
        <v>1.2111111111111112</v>
      </c>
      <c r="N191" s="668"/>
    </row>
    <row r="192" spans="1:29" x14ac:dyDescent="0.2">
      <c r="A192" s="138" t="str">
        <f t="shared" si="87"/>
        <v>KVV Gas</v>
      </c>
      <c r="B192" s="519">
        <f>INDEX(('INTERNA BERÄKNINGAR'!P53,'INTERNA BERÄKNINGAR'!P66,'INTERNA BERÄKNINGAR'!P79),1,1,INDATA!$J$75)</f>
        <v>0.3298014629049113</v>
      </c>
      <c r="C192" s="519">
        <f>INDEX(('INTERNA BERÄKNINGAR'!Q53,'INTERNA BERÄKNINGAR'!Q66,'INTERNA BERÄKNINGAR'!Q79),1,1,INDATA!$J$75)</f>
        <v>0.3298014629049113</v>
      </c>
      <c r="D192" s="519">
        <f>INDEX(('INTERNA BERÄKNINGAR'!R53,'INTERNA BERÄKNINGAR'!R66,'INTERNA BERÄKNINGAR'!R79),1,1,INDATA!$J$75)</f>
        <v>0.3298014629049113</v>
      </c>
      <c r="E192" s="519">
        <f>INDEX(('INTERNA BERÄKNINGAR'!S53,'INTERNA BERÄKNINGAR'!S66,'INTERNA BERÄKNINGAR'!S79),1,1,INDATA!$J$75)</f>
        <v>0.3298014629049113</v>
      </c>
      <c r="F192" s="519">
        <f>INDEX(('INTERNA BERÄKNINGAR'!T53,'INTERNA BERÄKNINGAR'!T66,'INTERNA BERÄKNINGAR'!T79),1,1,INDATA!$J$75)</f>
        <v>0.3298014629049113</v>
      </c>
      <c r="G192" s="519">
        <f>INDEX(('INTERNA BERÄKNINGAR'!U53,'INTERNA BERÄKNINGAR'!U66,'INTERNA BERÄKNINGAR'!U79),1,1,INDATA!$J$75)</f>
        <v>0.3298014629049113</v>
      </c>
      <c r="H192" s="519">
        <f>INDEX(('INTERNA BERÄKNINGAR'!V53,'INTERNA BERÄKNINGAR'!V66,'INTERNA BERÄKNINGAR'!V79),1,1,INDATA!$J$75)</f>
        <v>0.3298014629049113</v>
      </c>
      <c r="I192" s="519">
        <f>INDEX(('INTERNA BERÄKNINGAR'!W53,'INTERNA BERÄKNINGAR'!W66,'INTERNA BERÄKNINGAR'!W79),1,1,INDATA!$J$75)</f>
        <v>0.3298014629049113</v>
      </c>
      <c r="J192" s="519">
        <f>INDEX(('INTERNA BERÄKNINGAR'!X53,'INTERNA BERÄKNINGAR'!X66,'INTERNA BERÄKNINGAR'!X79),1,1,INDATA!$J$75)</f>
        <v>0.3298014629049113</v>
      </c>
      <c r="K192" s="519">
        <f>INDEX(('INTERNA BERÄKNINGAR'!Y53,'INTERNA BERÄKNINGAR'!Y66,'INTERNA BERÄKNINGAR'!Y79),1,1,INDATA!$J$75)</f>
        <v>0.3298014629049113</v>
      </c>
      <c r="L192" s="519">
        <f>INDEX(('INTERNA BERÄKNINGAR'!Z53,'INTERNA BERÄKNINGAR'!Z66,'INTERNA BERÄKNINGAR'!Z79),1,1,INDATA!$J$75)</f>
        <v>0.3298014629049113</v>
      </c>
      <c r="M192" s="558">
        <f>INDEX(('INTERNA BERÄKNINGAR'!AA53,'INTERNA BERÄKNINGAR'!AA66,'INTERNA BERÄKNINGAR'!AA79),1,1,INDATA!$J$75)</f>
        <v>0.3298014629049113</v>
      </c>
      <c r="N192" s="668"/>
    </row>
    <row r="193" spans="1:14" x14ac:dyDescent="0.2">
      <c r="A193" s="139" t="str">
        <f t="shared" si="87"/>
        <v>Valfri 3</v>
      </c>
      <c r="B193" s="559">
        <f>INDEX(('INTERNA BERÄKNINGAR'!P54,'INTERNA BERÄKNINGAR'!P67,'INTERNA BERÄKNINGAR'!P80),1,1,INDATA!$J$75)</f>
        <v>0</v>
      </c>
      <c r="C193" s="559">
        <f>INDEX(('INTERNA BERÄKNINGAR'!Q54,'INTERNA BERÄKNINGAR'!Q67,'INTERNA BERÄKNINGAR'!Q80),1,1,INDATA!$J$75)</f>
        <v>0</v>
      </c>
      <c r="D193" s="559">
        <f>INDEX(('INTERNA BERÄKNINGAR'!R54,'INTERNA BERÄKNINGAR'!R67,'INTERNA BERÄKNINGAR'!R80),1,1,INDATA!$J$75)</f>
        <v>0</v>
      </c>
      <c r="E193" s="559">
        <f>INDEX(('INTERNA BERÄKNINGAR'!S54,'INTERNA BERÄKNINGAR'!S67,'INTERNA BERÄKNINGAR'!S80),1,1,INDATA!$J$75)</f>
        <v>0</v>
      </c>
      <c r="F193" s="559">
        <f>INDEX(('INTERNA BERÄKNINGAR'!T54,'INTERNA BERÄKNINGAR'!T67,'INTERNA BERÄKNINGAR'!T80),1,1,INDATA!$J$75)</f>
        <v>0</v>
      </c>
      <c r="G193" s="559">
        <f>INDEX(('INTERNA BERÄKNINGAR'!U54,'INTERNA BERÄKNINGAR'!U67,'INTERNA BERÄKNINGAR'!U80),1,1,INDATA!$J$75)</f>
        <v>0</v>
      </c>
      <c r="H193" s="559">
        <f>INDEX(('INTERNA BERÄKNINGAR'!V54,'INTERNA BERÄKNINGAR'!V67,'INTERNA BERÄKNINGAR'!V80),1,1,INDATA!$J$75)</f>
        <v>0</v>
      </c>
      <c r="I193" s="559">
        <f>INDEX(('INTERNA BERÄKNINGAR'!W54,'INTERNA BERÄKNINGAR'!W67,'INTERNA BERÄKNINGAR'!W80),1,1,INDATA!$J$75)</f>
        <v>0</v>
      </c>
      <c r="J193" s="559">
        <f>INDEX(('INTERNA BERÄKNINGAR'!X54,'INTERNA BERÄKNINGAR'!X67,'INTERNA BERÄKNINGAR'!X80),1,1,INDATA!$J$75)</f>
        <v>0</v>
      </c>
      <c r="K193" s="559">
        <f>INDEX(('INTERNA BERÄKNINGAR'!Y54,'INTERNA BERÄKNINGAR'!Y67,'INTERNA BERÄKNINGAR'!Y80),1,1,INDATA!$J$75)</f>
        <v>0</v>
      </c>
      <c r="L193" s="559">
        <f>INDEX(('INTERNA BERÄKNINGAR'!Z54,'INTERNA BERÄKNINGAR'!Z67,'INTERNA BERÄKNINGAR'!Z80),1,1,INDATA!$J$75)</f>
        <v>0</v>
      </c>
      <c r="M193" s="560">
        <f>INDEX(('INTERNA BERÄKNINGAR'!AA54,'INTERNA BERÄKNINGAR'!AA67,'INTERNA BERÄKNINGAR'!AA80),1,1,INDATA!$J$75)</f>
        <v>0</v>
      </c>
      <c r="N193" s="668"/>
    </row>
    <row r="194" spans="1:14" x14ac:dyDescent="0.2">
      <c r="A194" s="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583"/>
    </row>
    <row r="195" spans="1:14" x14ac:dyDescent="0.2">
      <c r="N195" s="26"/>
    </row>
    <row r="196" spans="1:14" x14ac:dyDescent="0.2">
      <c r="A196" s="522" t="s">
        <v>367</v>
      </c>
      <c r="B196" s="523"/>
      <c r="C196" s="523"/>
      <c r="D196" s="523"/>
      <c r="E196" s="523"/>
      <c r="F196" s="523"/>
      <c r="G196" s="523"/>
      <c r="H196" s="523"/>
      <c r="I196" s="523"/>
      <c r="J196" s="523"/>
      <c r="K196" s="523"/>
      <c r="L196" s="523"/>
      <c r="M196" s="524"/>
      <c r="N196" s="678"/>
    </row>
    <row r="197" spans="1:14" s="68" customFormat="1" x14ac:dyDescent="0.2">
      <c r="A197" s="136" t="s">
        <v>365</v>
      </c>
      <c r="B197" s="517" t="s">
        <v>20</v>
      </c>
      <c r="C197" s="517" t="s">
        <v>21</v>
      </c>
      <c r="D197" s="517" t="s">
        <v>22</v>
      </c>
      <c r="E197" s="517" t="s">
        <v>23</v>
      </c>
      <c r="F197" s="517" t="s">
        <v>24</v>
      </c>
      <c r="G197" s="517" t="s">
        <v>25</v>
      </c>
      <c r="H197" s="517" t="s">
        <v>26</v>
      </c>
      <c r="I197" s="517" t="s">
        <v>27</v>
      </c>
      <c r="J197" s="517" t="s">
        <v>28</v>
      </c>
      <c r="K197" s="517" t="s">
        <v>29</v>
      </c>
      <c r="L197" s="517" t="s">
        <v>30</v>
      </c>
      <c r="M197" s="517" t="s">
        <v>31</v>
      </c>
      <c r="N197" s="679" t="s">
        <v>53</v>
      </c>
    </row>
    <row r="198" spans="1:14" x14ac:dyDescent="0.2">
      <c r="A198" s="138" t="str">
        <f t="shared" ref="A198:A207" si="89">P175</f>
        <v>HVC EO1</v>
      </c>
      <c r="B198" s="591">
        <f t="shared" ref="B198:B207" si="90">Q162-Q175</f>
        <v>0</v>
      </c>
      <c r="C198" s="591">
        <f t="shared" ref="C198:C207" si="91">R162-R175</f>
        <v>0</v>
      </c>
      <c r="D198" s="591">
        <f t="shared" ref="D198:D207" si="92">S162-S175</f>
        <v>0</v>
      </c>
      <c r="E198" s="591">
        <f t="shared" ref="E198:E207" si="93">T162-T175</f>
        <v>0</v>
      </c>
      <c r="F198" s="591">
        <f t="shared" ref="F198:F207" si="94">U162-U175</f>
        <v>0</v>
      </c>
      <c r="G198" s="591">
        <f t="shared" ref="G198:G207" si="95">V162-V175</f>
        <v>0</v>
      </c>
      <c r="H198" s="591">
        <f t="shared" ref="H198:H207" si="96">W162-W175</f>
        <v>0</v>
      </c>
      <c r="I198" s="591">
        <f t="shared" ref="I198:I207" si="97">X162-X175</f>
        <v>0</v>
      </c>
      <c r="J198" s="591">
        <f t="shared" ref="J198:J207" si="98">Y162-Y175</f>
        <v>0</v>
      </c>
      <c r="K198" s="591">
        <f t="shared" ref="K198:K207" si="99">Z162-Z175</f>
        <v>0</v>
      </c>
      <c r="L198" s="591">
        <f t="shared" ref="L198:L207" si="100">AA162-AA175</f>
        <v>0</v>
      </c>
      <c r="M198" s="591">
        <f t="shared" ref="M198:M207" si="101">AB162-AB175</f>
        <v>0</v>
      </c>
      <c r="N198" s="680">
        <f>SUM(B198:M198)</f>
        <v>0</v>
      </c>
    </row>
    <row r="199" spans="1:14" x14ac:dyDescent="0.2">
      <c r="A199" s="138" t="str">
        <f t="shared" si="89"/>
        <v>HVC bioolja</v>
      </c>
      <c r="B199" s="591">
        <f t="shared" si="90"/>
        <v>0</v>
      </c>
      <c r="C199" s="591">
        <f t="shared" si="91"/>
        <v>0</v>
      </c>
      <c r="D199" s="591">
        <f t="shared" si="92"/>
        <v>0</v>
      </c>
      <c r="E199" s="591">
        <f t="shared" si="93"/>
        <v>0</v>
      </c>
      <c r="F199" s="591">
        <f t="shared" si="94"/>
        <v>0</v>
      </c>
      <c r="G199" s="591">
        <f t="shared" si="95"/>
        <v>0</v>
      </c>
      <c r="H199" s="591">
        <f t="shared" si="96"/>
        <v>0</v>
      </c>
      <c r="I199" s="591">
        <f t="shared" si="97"/>
        <v>0</v>
      </c>
      <c r="J199" s="591">
        <f t="shared" si="98"/>
        <v>0</v>
      </c>
      <c r="K199" s="591">
        <f t="shared" si="99"/>
        <v>0</v>
      </c>
      <c r="L199" s="591">
        <f t="shared" si="100"/>
        <v>0</v>
      </c>
      <c r="M199" s="591">
        <f t="shared" si="101"/>
        <v>0</v>
      </c>
      <c r="N199" s="680">
        <f t="shared" ref="N199:N207" si="102">SUM(B199:M199)</f>
        <v>0</v>
      </c>
    </row>
    <row r="200" spans="1:14" x14ac:dyDescent="0.2">
      <c r="A200" s="138" t="str">
        <f t="shared" si="89"/>
        <v>HVC pellets</v>
      </c>
      <c r="B200" s="591">
        <f t="shared" si="90"/>
        <v>-102.3413711340128</v>
      </c>
      <c r="C200" s="591">
        <f t="shared" si="91"/>
        <v>-95.633140558981552</v>
      </c>
      <c r="D200" s="591">
        <f t="shared" si="92"/>
        <v>0</v>
      </c>
      <c r="E200" s="591">
        <f t="shared" si="93"/>
        <v>0</v>
      </c>
      <c r="F200" s="591">
        <f t="shared" si="94"/>
        <v>0</v>
      </c>
      <c r="G200" s="591">
        <f t="shared" si="95"/>
        <v>0</v>
      </c>
      <c r="H200" s="591">
        <f t="shared" si="96"/>
        <v>0</v>
      </c>
      <c r="I200" s="591">
        <f t="shared" si="97"/>
        <v>0</v>
      </c>
      <c r="J200" s="591">
        <f t="shared" si="98"/>
        <v>0</v>
      </c>
      <c r="K200" s="591">
        <f t="shared" si="99"/>
        <v>0</v>
      </c>
      <c r="L200" s="591">
        <f t="shared" si="100"/>
        <v>0</v>
      </c>
      <c r="M200" s="591">
        <f t="shared" si="101"/>
        <v>-94.63949726641826</v>
      </c>
      <c r="N200" s="680">
        <f t="shared" si="102"/>
        <v>-292.61400895941262</v>
      </c>
    </row>
    <row r="201" spans="1:14" x14ac:dyDescent="0.2">
      <c r="A201" s="138" t="str">
        <f t="shared" si="89"/>
        <v>KVV avfall</v>
      </c>
      <c r="B201" s="591">
        <f t="shared" si="90"/>
        <v>0</v>
      </c>
      <c r="C201" s="591">
        <f t="shared" si="91"/>
        <v>0</v>
      </c>
      <c r="D201" s="591">
        <f t="shared" si="92"/>
        <v>0</v>
      </c>
      <c r="E201" s="591">
        <f t="shared" si="93"/>
        <v>0</v>
      </c>
      <c r="F201" s="591">
        <f t="shared" si="94"/>
        <v>-488.88745132036865</v>
      </c>
      <c r="G201" s="591">
        <f t="shared" si="95"/>
        <v>-1502.3361795390454</v>
      </c>
      <c r="H201" s="591">
        <f t="shared" si="96"/>
        <v>-1466.6891504075661</v>
      </c>
      <c r="I201" s="591">
        <f t="shared" si="97"/>
        <v>-1004.3353293249994</v>
      </c>
      <c r="J201" s="591">
        <f t="shared" si="98"/>
        <v>-312.80833059758271</v>
      </c>
      <c r="K201" s="591">
        <f t="shared" si="99"/>
        <v>0</v>
      </c>
      <c r="L201" s="591">
        <f t="shared" si="100"/>
        <v>0</v>
      </c>
      <c r="M201" s="591">
        <f t="shared" si="101"/>
        <v>0</v>
      </c>
      <c r="N201" s="680">
        <f t="shared" si="102"/>
        <v>-4775.0564411895621</v>
      </c>
    </row>
    <row r="202" spans="1:14" x14ac:dyDescent="0.2">
      <c r="A202" s="138" t="str">
        <f t="shared" si="89"/>
        <v>KVV grot</v>
      </c>
      <c r="B202" s="591">
        <f t="shared" si="90"/>
        <v>0</v>
      </c>
      <c r="C202" s="591">
        <f t="shared" si="91"/>
        <v>0</v>
      </c>
      <c r="D202" s="591">
        <f t="shared" si="92"/>
        <v>0</v>
      </c>
      <c r="E202" s="591">
        <f t="shared" si="93"/>
        <v>139.09218326962267</v>
      </c>
      <c r="F202" s="591">
        <f t="shared" si="94"/>
        <v>-495.37908872343212</v>
      </c>
      <c r="G202" s="591">
        <f t="shared" si="95"/>
        <v>0</v>
      </c>
      <c r="H202" s="591">
        <f t="shared" si="96"/>
        <v>0</v>
      </c>
      <c r="I202" s="591">
        <f t="shared" si="97"/>
        <v>0</v>
      </c>
      <c r="J202" s="591">
        <f t="shared" si="98"/>
        <v>-316.96192106797184</v>
      </c>
      <c r="K202" s="591">
        <f t="shared" si="99"/>
        <v>138.50109400318314</v>
      </c>
      <c r="L202" s="591">
        <f t="shared" si="100"/>
        <v>0</v>
      </c>
      <c r="M202" s="591">
        <f t="shared" si="101"/>
        <v>0</v>
      </c>
      <c r="N202" s="680">
        <f t="shared" si="102"/>
        <v>-534.74773251859824</v>
      </c>
    </row>
    <row r="203" spans="1:14" x14ac:dyDescent="0.2">
      <c r="A203" s="138" t="str">
        <f t="shared" si="89"/>
        <v>Värmepump COP3</v>
      </c>
      <c r="B203" s="591">
        <f t="shared" si="90"/>
        <v>0</v>
      </c>
      <c r="C203" s="591">
        <f t="shared" si="91"/>
        <v>0</v>
      </c>
      <c r="D203" s="591">
        <f t="shared" si="92"/>
        <v>-55.797484281316514</v>
      </c>
      <c r="E203" s="591">
        <f t="shared" si="93"/>
        <v>-63.245146595145862</v>
      </c>
      <c r="F203" s="591">
        <f t="shared" si="94"/>
        <v>0</v>
      </c>
      <c r="G203" s="591">
        <f t="shared" si="95"/>
        <v>0</v>
      </c>
      <c r="H203" s="591">
        <f t="shared" si="96"/>
        <v>0</v>
      </c>
      <c r="I203" s="591">
        <f t="shared" si="97"/>
        <v>0</v>
      </c>
      <c r="J203" s="591">
        <f t="shared" si="98"/>
        <v>0</v>
      </c>
      <c r="K203" s="591">
        <f t="shared" si="99"/>
        <v>-62.976378599504301</v>
      </c>
      <c r="L203" s="591">
        <f t="shared" si="100"/>
        <v>-52.997128018526482</v>
      </c>
      <c r="M203" s="591">
        <f t="shared" si="101"/>
        <v>0</v>
      </c>
      <c r="N203" s="680">
        <f t="shared" si="102"/>
        <v>-235.01613749449314</v>
      </c>
    </row>
    <row r="204" spans="1:14" x14ac:dyDescent="0.2">
      <c r="A204" s="138" t="str">
        <f t="shared" si="89"/>
        <v>Spillvärme industri</v>
      </c>
      <c r="B204" s="591">
        <f t="shared" si="90"/>
        <v>0</v>
      </c>
      <c r="C204" s="591">
        <f t="shared" si="91"/>
        <v>0</v>
      </c>
      <c r="D204" s="591">
        <f t="shared" si="92"/>
        <v>0</v>
      </c>
      <c r="E204" s="591">
        <f t="shared" si="93"/>
        <v>0</v>
      </c>
      <c r="F204" s="591">
        <f t="shared" si="94"/>
        <v>0</v>
      </c>
      <c r="G204" s="591">
        <f t="shared" si="95"/>
        <v>0</v>
      </c>
      <c r="H204" s="591">
        <f t="shared" si="96"/>
        <v>0</v>
      </c>
      <c r="I204" s="591">
        <f t="shared" si="97"/>
        <v>0</v>
      </c>
      <c r="J204" s="591">
        <f t="shared" si="98"/>
        <v>0</v>
      </c>
      <c r="K204" s="591">
        <f t="shared" si="99"/>
        <v>0</v>
      </c>
      <c r="L204" s="591">
        <f t="shared" si="100"/>
        <v>0</v>
      </c>
      <c r="M204" s="591">
        <f t="shared" si="101"/>
        <v>0</v>
      </c>
      <c r="N204" s="680">
        <f t="shared" si="102"/>
        <v>0</v>
      </c>
    </row>
    <row r="205" spans="1:14" x14ac:dyDescent="0.2">
      <c r="A205" s="138" t="str">
        <f t="shared" si="89"/>
        <v>HVC Gas</v>
      </c>
      <c r="B205" s="591">
        <f t="shared" si="90"/>
        <v>-79.405339231550812</v>
      </c>
      <c r="C205" s="591">
        <f t="shared" si="91"/>
        <v>-74.200510348065336</v>
      </c>
      <c r="D205" s="591">
        <f t="shared" si="92"/>
        <v>0</v>
      </c>
      <c r="E205" s="591">
        <f t="shared" si="93"/>
        <v>0</v>
      </c>
      <c r="F205" s="591">
        <f t="shared" si="94"/>
        <v>0</v>
      </c>
      <c r="G205" s="591">
        <f t="shared" si="95"/>
        <v>0</v>
      </c>
      <c r="H205" s="591">
        <f t="shared" si="96"/>
        <v>0</v>
      </c>
      <c r="I205" s="591">
        <f t="shared" si="97"/>
        <v>0</v>
      </c>
      <c r="J205" s="591">
        <f t="shared" si="98"/>
        <v>0</v>
      </c>
      <c r="K205" s="591">
        <f t="shared" si="99"/>
        <v>0</v>
      </c>
      <c r="L205" s="591">
        <f t="shared" si="100"/>
        <v>0</v>
      </c>
      <c r="M205" s="591">
        <f t="shared" si="101"/>
        <v>-73.429555436607046</v>
      </c>
      <c r="N205" s="680">
        <f t="shared" si="102"/>
        <v>-227.03540501622319</v>
      </c>
    </row>
    <row r="206" spans="1:14" x14ac:dyDescent="0.2">
      <c r="A206" s="138" t="str">
        <f t="shared" si="89"/>
        <v>KVV Gas</v>
      </c>
      <c r="B206" s="591">
        <f t="shared" si="90"/>
        <v>-112.04705990030391</v>
      </c>
      <c r="C206" s="591">
        <f t="shared" si="91"/>
        <v>-104.7026447851172</v>
      </c>
      <c r="D206" s="591">
        <f t="shared" si="92"/>
        <v>-85.427893226637849</v>
      </c>
      <c r="E206" s="591">
        <f t="shared" si="93"/>
        <v>0</v>
      </c>
      <c r="F206" s="591">
        <f t="shared" si="94"/>
        <v>0</v>
      </c>
      <c r="G206" s="591">
        <f t="shared" si="95"/>
        <v>0</v>
      </c>
      <c r="H206" s="591">
        <f t="shared" si="96"/>
        <v>0</v>
      </c>
      <c r="I206" s="591">
        <f t="shared" si="97"/>
        <v>0</v>
      </c>
      <c r="J206" s="591">
        <f t="shared" si="98"/>
        <v>0</v>
      </c>
      <c r="K206" s="591">
        <f t="shared" si="99"/>
        <v>0</v>
      </c>
      <c r="L206" s="591">
        <f t="shared" si="100"/>
        <v>-81.140450183362901</v>
      </c>
      <c r="M206" s="591">
        <f t="shared" si="101"/>
        <v>-103.61476792468717</v>
      </c>
      <c r="N206" s="680">
        <f t="shared" si="102"/>
        <v>-486.93281602010904</v>
      </c>
    </row>
    <row r="207" spans="1:14" x14ac:dyDescent="0.2">
      <c r="A207" s="139" t="str">
        <f t="shared" si="89"/>
        <v>Valfri 3</v>
      </c>
      <c r="B207" s="592">
        <f t="shared" si="90"/>
        <v>0</v>
      </c>
      <c r="C207" s="592">
        <f t="shared" si="91"/>
        <v>0</v>
      </c>
      <c r="D207" s="592">
        <f t="shared" si="92"/>
        <v>0</v>
      </c>
      <c r="E207" s="592">
        <f t="shared" si="93"/>
        <v>0</v>
      </c>
      <c r="F207" s="592">
        <f t="shared" si="94"/>
        <v>0</v>
      </c>
      <c r="G207" s="592">
        <f t="shared" si="95"/>
        <v>0</v>
      </c>
      <c r="H207" s="592">
        <f t="shared" si="96"/>
        <v>0</v>
      </c>
      <c r="I207" s="592">
        <f t="shared" si="97"/>
        <v>0</v>
      </c>
      <c r="J207" s="592">
        <f t="shared" si="98"/>
        <v>0</v>
      </c>
      <c r="K207" s="592">
        <f t="shared" si="99"/>
        <v>0</v>
      </c>
      <c r="L207" s="592">
        <f t="shared" si="100"/>
        <v>0</v>
      </c>
      <c r="M207" s="592">
        <f t="shared" si="101"/>
        <v>0</v>
      </c>
      <c r="N207" s="680">
        <f t="shared" si="102"/>
        <v>0</v>
      </c>
    </row>
    <row r="208" spans="1:14" x14ac:dyDescent="0.2">
      <c r="A208" s="136" t="s">
        <v>308</v>
      </c>
      <c r="B208" s="593">
        <f>SUM(B198:B207)</f>
        <v>-293.79377026586752</v>
      </c>
      <c r="C208" s="593">
        <f t="shared" ref="C208:M208" si="103">SUM(C198:C207)</f>
        <v>-274.53629569216412</v>
      </c>
      <c r="D208" s="593">
        <f t="shared" si="103"/>
        <v>-141.22537750795436</v>
      </c>
      <c r="E208" s="593">
        <f t="shared" si="103"/>
        <v>75.847036674476811</v>
      </c>
      <c r="F208" s="593">
        <f t="shared" si="103"/>
        <v>-984.26654004380077</v>
      </c>
      <c r="G208" s="593">
        <f t="shared" si="103"/>
        <v>-1502.3361795390454</v>
      </c>
      <c r="H208" s="593">
        <f t="shared" si="103"/>
        <v>-1466.6891504075661</v>
      </c>
      <c r="I208" s="593">
        <f t="shared" si="103"/>
        <v>-1004.3353293249994</v>
      </c>
      <c r="J208" s="593">
        <f t="shared" si="103"/>
        <v>-629.7702516655545</v>
      </c>
      <c r="K208" s="593">
        <f t="shared" si="103"/>
        <v>75.52471540367884</v>
      </c>
      <c r="L208" s="593">
        <f t="shared" si="103"/>
        <v>-134.13757820188937</v>
      </c>
      <c r="M208" s="593">
        <f t="shared" si="103"/>
        <v>-271.68382062771246</v>
      </c>
      <c r="N208" s="681">
        <f>SUM(N198:N207)</f>
        <v>-6551.4025411983985</v>
      </c>
    </row>
    <row r="209" spans="1:14" x14ac:dyDescent="0.2">
      <c r="N209" s="26"/>
    </row>
    <row r="210" spans="1:14" x14ac:dyDescent="0.2">
      <c r="A210" s="149" t="s">
        <v>43</v>
      </c>
      <c r="B210" s="150"/>
      <c r="C210" s="150"/>
      <c r="D210" s="150"/>
      <c r="E210" s="150"/>
      <c r="F210" s="150"/>
      <c r="G210" s="150"/>
      <c r="H210" s="150"/>
      <c r="I210" s="150"/>
      <c r="J210" s="150"/>
      <c r="K210" s="150"/>
      <c r="L210" s="150"/>
      <c r="M210" s="150"/>
      <c r="N210" s="682"/>
    </row>
    <row r="211" spans="1:14" x14ac:dyDescent="0.2">
      <c r="A211" s="7"/>
      <c r="B211" s="27"/>
      <c r="C211" s="27"/>
      <c r="D211" s="27"/>
      <c r="E211" s="27"/>
      <c r="F211" s="27"/>
      <c r="G211" s="27"/>
      <c r="H211" s="27"/>
      <c r="I211" s="27"/>
      <c r="J211" s="27"/>
      <c r="K211" s="55"/>
      <c r="L211" s="55"/>
      <c r="M211" s="55"/>
      <c r="N211" s="668"/>
    </row>
    <row r="212" spans="1:14" x14ac:dyDescent="0.2">
      <c r="A212" s="308" t="s">
        <v>122</v>
      </c>
      <c r="B212" s="704" t="s">
        <v>156</v>
      </c>
      <c r="C212" s="705"/>
      <c r="D212" s="27"/>
      <c r="E212" s="27"/>
      <c r="F212" s="27"/>
      <c r="G212" s="27"/>
      <c r="H212" s="27"/>
      <c r="I212" s="27"/>
      <c r="J212" s="27"/>
      <c r="K212" s="55"/>
      <c r="L212" s="55"/>
      <c r="M212" s="55"/>
      <c r="N212" s="668"/>
    </row>
    <row r="213" spans="1:14" x14ac:dyDescent="0.2">
      <c r="A213" s="309" t="s">
        <v>140</v>
      </c>
      <c r="B213" s="722">
        <f>'INTERNA BERÄKNINGAR'!B133</f>
        <v>0</v>
      </c>
      <c r="C213" s="722"/>
      <c r="D213" s="27"/>
      <c r="E213" s="27"/>
      <c r="F213" s="27"/>
      <c r="G213" s="27"/>
      <c r="H213" s="27"/>
      <c r="I213" s="27"/>
      <c r="J213" s="27"/>
      <c r="K213" s="55"/>
      <c r="L213" s="55"/>
      <c r="M213" s="55"/>
      <c r="N213" s="668"/>
    </row>
    <row r="214" spans="1:14" x14ac:dyDescent="0.2">
      <c r="A214" s="309" t="s">
        <v>141</v>
      </c>
      <c r="B214" s="698">
        <f>'INTERNA BERÄKNINGAR'!B136</f>
        <v>2915729.8281872217</v>
      </c>
      <c r="C214" s="698"/>
      <c r="D214" s="27"/>
      <c r="E214" s="27"/>
      <c r="F214" s="27"/>
      <c r="G214" s="27"/>
      <c r="H214" s="27"/>
      <c r="I214" s="27"/>
      <c r="J214" s="27"/>
      <c r="K214" s="55"/>
      <c r="L214" s="55"/>
      <c r="M214" s="55"/>
      <c r="N214" s="668"/>
    </row>
    <row r="215" spans="1:14" x14ac:dyDescent="0.2">
      <c r="A215" s="309" t="s">
        <v>144</v>
      </c>
      <c r="B215" s="698">
        <f>'INTERNA BERÄKNINGAR'!B140</f>
        <v>14620999.48922638</v>
      </c>
      <c r="C215" s="698"/>
      <c r="D215" s="27"/>
      <c r="E215" s="27"/>
      <c r="F215" s="27"/>
      <c r="G215" s="27"/>
      <c r="H215" s="27"/>
      <c r="I215" s="27"/>
      <c r="J215" s="27"/>
      <c r="K215" s="55"/>
      <c r="L215" s="55"/>
      <c r="M215" s="55"/>
      <c r="N215" s="668"/>
    </row>
    <row r="216" spans="1:14" x14ac:dyDescent="0.2">
      <c r="A216" s="309" t="s">
        <v>147</v>
      </c>
      <c r="B216" s="698">
        <f>'INTERNA BERÄKNINGAR'!B144</f>
        <v>0</v>
      </c>
      <c r="C216" s="698"/>
      <c r="D216" s="27"/>
      <c r="E216" s="27"/>
      <c r="F216" s="27"/>
      <c r="G216" s="27"/>
      <c r="H216" s="27"/>
      <c r="I216" s="27"/>
      <c r="J216" s="27"/>
      <c r="K216" s="55"/>
      <c r="L216" s="55"/>
      <c r="M216" s="55"/>
      <c r="N216" s="668"/>
    </row>
    <row r="217" spans="1:14" x14ac:dyDescent="0.2">
      <c r="A217" s="309" t="s">
        <v>151</v>
      </c>
      <c r="B217" s="698">
        <f>'INTERNA BERÄKNINGAR'!B149</f>
        <v>2332583.8625497776</v>
      </c>
      <c r="C217" s="698"/>
      <c r="D217" s="27"/>
      <c r="E217" s="27"/>
      <c r="F217" s="27"/>
      <c r="G217" s="27"/>
      <c r="H217" s="27"/>
      <c r="I217" s="27"/>
      <c r="J217" s="27"/>
      <c r="K217" s="55"/>
      <c r="L217" s="55"/>
      <c r="M217" s="55"/>
      <c r="N217" s="668"/>
    </row>
    <row r="218" spans="1:14" x14ac:dyDescent="0.2">
      <c r="A218" s="310" t="s">
        <v>155</v>
      </c>
      <c r="B218" s="710">
        <f>'INTERNA BERÄKNINGAR'!B155</f>
        <v>19869313.17996338</v>
      </c>
      <c r="C218" s="711"/>
      <c r="D218" s="27"/>
      <c r="E218" s="27"/>
      <c r="F218" s="27"/>
      <c r="G218" s="27"/>
      <c r="H218" s="27"/>
      <c r="I218" s="27"/>
      <c r="J218" s="27"/>
      <c r="K218" s="55"/>
      <c r="L218" s="55"/>
      <c r="M218" s="55"/>
      <c r="N218" s="668"/>
    </row>
    <row r="219" spans="1:14" x14ac:dyDescent="0.2">
      <c r="A219" s="155"/>
      <c r="B219" s="55"/>
      <c r="C219" s="55"/>
      <c r="D219" s="27"/>
      <c r="E219" s="27"/>
      <c r="F219" s="27"/>
      <c r="G219" s="27"/>
      <c r="H219" s="27"/>
      <c r="I219" s="27"/>
      <c r="J219" s="27"/>
      <c r="K219" s="55"/>
      <c r="L219" s="55"/>
      <c r="M219" s="55"/>
      <c r="N219" s="668"/>
    </row>
    <row r="220" spans="1:14" x14ac:dyDescent="0.2">
      <c r="A220" s="155"/>
      <c r="B220" s="55"/>
      <c r="C220" s="55"/>
      <c r="D220" s="55"/>
      <c r="E220" s="55"/>
      <c r="F220" s="55"/>
      <c r="G220" s="27"/>
      <c r="H220" s="27"/>
      <c r="I220" s="27"/>
      <c r="J220" s="27"/>
      <c r="K220" s="55"/>
      <c r="L220" s="55"/>
      <c r="M220" s="55"/>
      <c r="N220" s="668"/>
    </row>
    <row r="221" spans="1:14" x14ac:dyDescent="0.2">
      <c r="A221" s="308" t="s">
        <v>296</v>
      </c>
      <c r="B221" s="704" t="s">
        <v>156</v>
      </c>
      <c r="C221" s="705"/>
      <c r="D221" s="55"/>
      <c r="E221" s="55"/>
      <c r="F221" s="27"/>
      <c r="G221" s="27"/>
      <c r="H221" s="27"/>
      <c r="I221" s="27"/>
      <c r="J221" s="27"/>
      <c r="K221" s="55"/>
      <c r="L221" s="55"/>
      <c r="M221" s="55"/>
      <c r="N221" s="668"/>
    </row>
    <row r="222" spans="1:14" x14ac:dyDescent="0.2">
      <c r="A222" s="309" t="s">
        <v>170</v>
      </c>
      <c r="B222" s="698">
        <f>'INTERNA BERÄKNINGAR'!B160</f>
        <v>119750.99620981583</v>
      </c>
      <c r="C222" s="698"/>
      <c r="D222" s="55"/>
      <c r="E222" s="25"/>
      <c r="F222" s="27"/>
      <c r="G222" s="27"/>
      <c r="H222" s="27"/>
      <c r="I222" s="27"/>
      <c r="J222" s="27"/>
      <c r="K222" s="55"/>
      <c r="L222" s="55"/>
      <c r="M222" s="55"/>
      <c r="N222" s="668"/>
    </row>
    <row r="223" spans="1:14" x14ac:dyDescent="0.2">
      <c r="A223" s="309" t="s">
        <v>169</v>
      </c>
      <c r="B223" s="698">
        <f>'INTERNA BERÄKNINGAR'!B161</f>
        <v>199584.99368302641</v>
      </c>
      <c r="C223" s="698"/>
      <c r="D223" s="55"/>
      <c r="E223" s="55"/>
      <c r="F223" s="27"/>
      <c r="G223" s="27"/>
      <c r="H223" s="27"/>
      <c r="I223" s="27"/>
      <c r="J223" s="27"/>
      <c r="K223" s="55"/>
      <c r="L223" s="55"/>
      <c r="M223" s="55"/>
      <c r="N223" s="668"/>
    </row>
    <row r="224" spans="1:14" x14ac:dyDescent="0.2">
      <c r="A224" s="310" t="s">
        <v>172</v>
      </c>
      <c r="B224" s="710">
        <f>'INTERNA BERÄKNINGAR'!B162</f>
        <v>319335.98989284225</v>
      </c>
      <c r="C224" s="711"/>
      <c r="D224" s="27"/>
      <c r="E224" s="27"/>
      <c r="F224" s="27"/>
      <c r="G224" s="27"/>
      <c r="H224" s="27"/>
      <c r="I224" s="27"/>
      <c r="J224" s="27"/>
      <c r="K224" s="55"/>
      <c r="L224" s="55"/>
      <c r="M224" s="55"/>
      <c r="N224" s="668"/>
    </row>
    <row r="225" spans="1:14" x14ac:dyDescent="0.2">
      <c r="A225" s="7"/>
      <c r="B225" s="27"/>
      <c r="C225" s="27"/>
      <c r="D225" s="27"/>
      <c r="E225" s="27"/>
      <c r="F225" s="27"/>
      <c r="G225" s="27"/>
      <c r="H225" s="27"/>
      <c r="I225" s="27"/>
      <c r="J225" s="27"/>
      <c r="K225" s="55"/>
      <c r="L225" s="55"/>
      <c r="M225" s="55"/>
      <c r="N225" s="668"/>
    </row>
    <row r="226" spans="1:14" x14ac:dyDescent="0.2">
      <c r="A226" s="308" t="s">
        <v>299</v>
      </c>
      <c r="B226" s="704" t="s">
        <v>156</v>
      </c>
      <c r="C226" s="705"/>
      <c r="D226" s="180"/>
      <c r="E226" s="27"/>
      <c r="F226" s="27"/>
      <c r="G226" s="27"/>
      <c r="H226" s="27"/>
      <c r="I226" s="27"/>
      <c r="J226" s="27"/>
      <c r="K226" s="27"/>
      <c r="L226" s="27"/>
      <c r="M226" s="27"/>
      <c r="N226" s="583"/>
    </row>
    <row r="227" spans="1:14" x14ac:dyDescent="0.2">
      <c r="A227" s="311" t="s">
        <v>300</v>
      </c>
      <c r="B227" s="710">
        <f>'INTERNA BERÄKNINGAR'!D214+'INTERNA BERÄKNINGAR'!E214</f>
        <v>3865833.7181122699</v>
      </c>
      <c r="C227" s="711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583"/>
    </row>
    <row r="228" spans="1:14" x14ac:dyDescent="0.2">
      <c r="A228" s="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583"/>
    </row>
    <row r="229" spans="1:14" x14ac:dyDescent="0.2">
      <c r="A229" s="224"/>
      <c r="B229" s="27"/>
      <c r="C229" s="27"/>
      <c r="D229" s="27"/>
      <c r="E229" s="27"/>
      <c r="F229" s="27"/>
      <c r="G229" s="178"/>
      <c r="H229" s="27"/>
      <c r="I229" s="27"/>
      <c r="J229" s="27"/>
      <c r="K229" s="27"/>
      <c r="L229" s="27"/>
      <c r="M229" s="27"/>
      <c r="N229" s="583"/>
    </row>
    <row r="230" spans="1:14" x14ac:dyDescent="0.2">
      <c r="A230" s="312" t="s">
        <v>297</v>
      </c>
      <c r="B230" s="313"/>
      <c r="C230" s="314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583"/>
    </row>
    <row r="231" spans="1:14" x14ac:dyDescent="0.2">
      <c r="A231" s="309" t="s">
        <v>298</v>
      </c>
      <c r="B231" s="712" t="s">
        <v>156</v>
      </c>
      <c r="C231" s="712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583"/>
    </row>
    <row r="232" spans="1:14" x14ac:dyDescent="0.2">
      <c r="A232" s="309" t="s">
        <v>286</v>
      </c>
      <c r="B232" s="698">
        <f>'INTERNA BERÄKNINGAR'!N195</f>
        <v>4352471.8495035954</v>
      </c>
      <c r="C232" s="698"/>
      <c r="D232" s="55"/>
      <c r="E232" s="27"/>
      <c r="F232" s="27"/>
      <c r="G232" s="27"/>
      <c r="H232" s="27"/>
      <c r="I232" s="27"/>
      <c r="J232" s="27"/>
      <c r="K232" s="27"/>
      <c r="L232" s="27"/>
      <c r="M232" s="27"/>
      <c r="N232" s="583"/>
    </row>
    <row r="233" spans="1:14" x14ac:dyDescent="0.2">
      <c r="A233" s="315" t="s">
        <v>285</v>
      </c>
      <c r="B233" s="710">
        <f>'INTERNA BERÄKNINGAR'!N199</f>
        <v>2108527.6900486425</v>
      </c>
      <c r="C233" s="711"/>
      <c r="D233" s="55"/>
      <c r="E233" s="27"/>
      <c r="F233" s="27"/>
      <c r="G233" s="178"/>
      <c r="H233" s="27"/>
      <c r="I233" s="27"/>
      <c r="J233" s="27"/>
      <c r="K233" s="27"/>
      <c r="L233" s="27"/>
      <c r="M233" s="27"/>
      <c r="N233" s="583"/>
    </row>
    <row r="234" spans="1:14" x14ac:dyDescent="0.2">
      <c r="A234" s="321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683"/>
    </row>
    <row r="235" spans="1:14" x14ac:dyDescent="0.2">
      <c r="N235" s="26"/>
    </row>
    <row r="236" spans="1:14" x14ac:dyDescent="0.2">
      <c r="A236" s="5"/>
      <c r="N236" s="26"/>
    </row>
    <row r="237" spans="1:14" x14ac:dyDescent="0.2">
      <c r="A237" s="175"/>
      <c r="G237" s="26"/>
      <c r="N237" s="26"/>
    </row>
    <row r="238" spans="1:14" x14ac:dyDescent="0.2">
      <c r="A238" s="175"/>
      <c r="N238" s="26"/>
    </row>
    <row r="239" spans="1:14" x14ac:dyDescent="0.2">
      <c r="A239" s="175"/>
      <c r="N239" s="26"/>
    </row>
    <row r="240" spans="1:14" x14ac:dyDescent="0.2">
      <c r="A240" s="175"/>
      <c r="N240" s="26"/>
    </row>
    <row r="241" spans="1:14" x14ac:dyDescent="0.2">
      <c r="A241" s="5"/>
      <c r="N241" s="26"/>
    </row>
    <row r="242" spans="1:14" x14ac:dyDescent="0.2">
      <c r="G242" s="26"/>
      <c r="N242" s="26"/>
    </row>
    <row r="243" spans="1:14" x14ac:dyDescent="0.2">
      <c r="N243" s="26"/>
    </row>
    <row r="244" spans="1:14" x14ac:dyDescent="0.2">
      <c r="N244" s="26"/>
    </row>
    <row r="245" spans="1:14" x14ac:dyDescent="0.2">
      <c r="N245" s="26"/>
    </row>
    <row r="246" spans="1:14" ht="16" x14ac:dyDescent="0.2">
      <c r="A246" s="174"/>
      <c r="G246" s="26"/>
      <c r="N246" s="26"/>
    </row>
    <row r="247" spans="1:14" x14ac:dyDescent="0.2">
      <c r="N247" s="26"/>
    </row>
    <row r="248" spans="1:14" x14ac:dyDescent="0.2">
      <c r="N248" s="26"/>
    </row>
    <row r="249" spans="1:14" x14ac:dyDescent="0.2">
      <c r="N249" s="26"/>
    </row>
    <row r="250" spans="1:14" x14ac:dyDescent="0.2">
      <c r="N250" s="26"/>
    </row>
    <row r="251" spans="1:14" x14ac:dyDescent="0.2">
      <c r="N251" s="26"/>
    </row>
    <row r="252" spans="1:14" x14ac:dyDescent="0.2">
      <c r="N252" s="26"/>
    </row>
    <row r="253" spans="1:14" x14ac:dyDescent="0.2">
      <c r="N253" s="26"/>
    </row>
    <row r="254" spans="1:14" x14ac:dyDescent="0.2">
      <c r="N254" s="26"/>
    </row>
    <row r="255" spans="1:14" x14ac:dyDescent="0.2">
      <c r="N255" s="26"/>
    </row>
    <row r="256" spans="1:14" s="68" customForma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 s="26"/>
    </row>
    <row r="257" spans="14:21" x14ac:dyDescent="0.2">
      <c r="N257" s="26"/>
      <c r="O257" s="55"/>
      <c r="P257" s="55"/>
      <c r="Q257" s="55"/>
      <c r="R257" s="55"/>
      <c r="S257" s="55"/>
      <c r="T257" s="55"/>
      <c r="U257" s="55"/>
    </row>
    <row r="258" spans="14:21" x14ac:dyDescent="0.2">
      <c r="N258" s="26"/>
      <c r="O258" s="55"/>
      <c r="P258" s="55"/>
      <c r="Q258" s="55"/>
      <c r="R258" s="55"/>
      <c r="S258" s="55"/>
      <c r="T258" s="55"/>
      <c r="U258" s="55"/>
    </row>
    <row r="259" spans="14:21" x14ac:dyDescent="0.2">
      <c r="N259" s="26"/>
      <c r="O259" s="55"/>
      <c r="P259" s="55"/>
      <c r="Q259" s="55"/>
      <c r="R259" s="55"/>
      <c r="S259" s="55"/>
      <c r="T259" s="55"/>
      <c r="U259" s="55"/>
    </row>
    <row r="260" spans="14:21" x14ac:dyDescent="0.2">
      <c r="N260" s="26"/>
      <c r="O260" s="55"/>
      <c r="P260" s="55"/>
      <c r="Q260" s="55"/>
      <c r="R260" s="55"/>
      <c r="S260" s="55"/>
      <c r="T260" s="55"/>
      <c r="U260" s="55"/>
    </row>
    <row r="261" spans="14:21" x14ac:dyDescent="0.2">
      <c r="N261" s="26"/>
      <c r="O261" s="55"/>
      <c r="P261" s="55"/>
      <c r="Q261" s="55"/>
      <c r="R261" s="55"/>
      <c r="S261" s="55"/>
      <c r="T261" s="55"/>
      <c r="U261" s="55"/>
    </row>
    <row r="262" spans="14:21" x14ac:dyDescent="0.2">
      <c r="N262" s="26"/>
      <c r="O262" s="25"/>
      <c r="P262" s="55"/>
      <c r="Q262" s="55"/>
      <c r="R262" s="55"/>
      <c r="S262" s="55"/>
      <c r="T262" s="55"/>
      <c r="U262" s="55"/>
    </row>
    <row r="263" spans="14:21" x14ac:dyDescent="0.2">
      <c r="N263" s="26"/>
      <c r="O263" s="25"/>
      <c r="P263" s="25"/>
      <c r="Q263" s="25"/>
      <c r="R263" s="55"/>
      <c r="S263" s="55"/>
      <c r="T263" s="55"/>
      <c r="U263" s="55"/>
    </row>
    <row r="264" spans="14:21" x14ac:dyDescent="0.2">
      <c r="N264" s="26"/>
      <c r="O264" s="25"/>
      <c r="P264" s="55"/>
      <c r="Q264" s="55"/>
      <c r="R264" s="55"/>
      <c r="S264" s="55"/>
      <c r="T264" s="55"/>
      <c r="U264" s="55"/>
    </row>
    <row r="265" spans="14:21" x14ac:dyDescent="0.2">
      <c r="N265" s="26"/>
      <c r="O265" s="55"/>
      <c r="P265" s="187"/>
      <c r="Q265" s="55"/>
      <c r="R265" s="55"/>
      <c r="S265" s="55"/>
      <c r="T265" s="55"/>
      <c r="U265" s="55"/>
    </row>
    <row r="266" spans="14:21" x14ac:dyDescent="0.2">
      <c r="N266" s="26"/>
      <c r="O266" s="25"/>
      <c r="P266" s="200"/>
      <c r="Q266" s="55"/>
      <c r="R266" s="55"/>
      <c r="S266" s="55"/>
      <c r="T266" s="55"/>
      <c r="U266" s="55"/>
    </row>
    <row r="267" spans="14:21" x14ac:dyDescent="0.2">
      <c r="N267" s="26"/>
      <c r="O267" s="55"/>
      <c r="P267" s="188"/>
      <c r="Q267" s="55"/>
      <c r="R267" s="55"/>
      <c r="S267" s="55"/>
      <c r="T267" s="55"/>
      <c r="U267" s="55"/>
    </row>
    <row r="268" spans="14:21" x14ac:dyDescent="0.2">
      <c r="N268" s="26"/>
      <c r="O268" s="25"/>
      <c r="P268" s="200"/>
      <c r="Q268" s="55"/>
      <c r="R268" s="55"/>
      <c r="S268" s="55"/>
      <c r="T268" s="55"/>
      <c r="U268" s="55"/>
    </row>
    <row r="269" spans="14:21" x14ac:dyDescent="0.2">
      <c r="N269" s="26"/>
      <c r="O269" s="55"/>
      <c r="P269" s="187"/>
      <c r="Q269" s="55"/>
      <c r="R269" s="55"/>
      <c r="S269" s="55"/>
      <c r="T269" s="55"/>
      <c r="U269" s="55"/>
    </row>
    <row r="270" spans="14:21" x14ac:dyDescent="0.2">
      <c r="N270" s="26"/>
      <c r="O270" s="55"/>
      <c r="P270" s="187"/>
      <c r="Q270" s="55"/>
      <c r="R270" s="55"/>
      <c r="S270" s="55"/>
      <c r="T270" s="55"/>
      <c r="U270" s="55"/>
    </row>
    <row r="271" spans="14:21" ht="16" x14ac:dyDescent="0.2">
      <c r="O271" s="177"/>
      <c r="P271" s="200"/>
      <c r="Q271" s="55"/>
      <c r="R271" s="55"/>
      <c r="S271" s="55"/>
      <c r="T271" s="55"/>
      <c r="U271" s="55"/>
    </row>
    <row r="272" spans="14:21" x14ac:dyDescent="0.2">
      <c r="P272" s="188"/>
      <c r="Q272" s="55"/>
    </row>
    <row r="273" spans="15:17" x14ac:dyDescent="0.2">
      <c r="O273" s="25"/>
      <c r="P273" s="187"/>
      <c r="Q273" s="55"/>
    </row>
    <row r="274" spans="15:17" x14ac:dyDescent="0.2">
      <c r="O274" s="55"/>
      <c r="P274" s="187"/>
      <c r="Q274" s="55"/>
    </row>
  </sheetData>
  <mergeCells count="31">
    <mergeCell ref="B227:C227"/>
    <mergeCell ref="B233:C233"/>
    <mergeCell ref="B232:C232"/>
    <mergeCell ref="B231:C231"/>
    <mergeCell ref="P103:AC105"/>
    <mergeCell ref="B221:C221"/>
    <mergeCell ref="B222:C222"/>
    <mergeCell ref="B223:C223"/>
    <mergeCell ref="B224:C224"/>
    <mergeCell ref="B226:C226"/>
    <mergeCell ref="B217:C217"/>
    <mergeCell ref="B213:C213"/>
    <mergeCell ref="B214:C214"/>
    <mergeCell ref="B215:C215"/>
    <mergeCell ref="B218:C218"/>
    <mergeCell ref="W13:Y13"/>
    <mergeCell ref="S14:T14"/>
    <mergeCell ref="U14:V14"/>
    <mergeCell ref="J13:K13"/>
    <mergeCell ref="L13:M13"/>
    <mergeCell ref="J14:K14"/>
    <mergeCell ref="J15:K15"/>
    <mergeCell ref="J16:K16"/>
    <mergeCell ref="B216:C216"/>
    <mergeCell ref="B13:C13"/>
    <mergeCell ref="D13:E13"/>
    <mergeCell ref="F14:G14"/>
    <mergeCell ref="F16:G16"/>
    <mergeCell ref="F13:G13"/>
    <mergeCell ref="F15:G15"/>
    <mergeCell ref="B212:C212"/>
  </mergeCells>
  <pageMargins left="0.7" right="0.7" top="0.75" bottom="0.75" header="0.3" footer="0.3"/>
  <pageSetup paperSize="9" scale="65" orientation="portrait" r:id="rId1"/>
  <rowBreaks count="4" manualBreakCount="4">
    <brk id="57" max="16383" man="1"/>
    <brk id="82" max="16383" man="1"/>
    <brk id="196" max="16383" man="1"/>
    <brk id="2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8" tint="0.59999389629810485"/>
  </sheetPr>
  <dimension ref="A1:AA229"/>
  <sheetViews>
    <sheetView topLeftCell="A202" workbookViewId="0"/>
  </sheetViews>
  <sheetFormatPr baseColWidth="10" defaultColWidth="8.83203125" defaultRowHeight="15" x14ac:dyDescent="0.2"/>
  <cols>
    <col min="1" max="1" width="37.33203125" customWidth="1"/>
    <col min="2" max="13" width="7.6640625" customWidth="1"/>
    <col min="14" max="14" width="5.1640625" customWidth="1"/>
    <col min="16" max="16" width="8.6640625" customWidth="1"/>
  </cols>
  <sheetData>
    <row r="1" spans="1:24" s="300" customFormat="1" ht="19" x14ac:dyDescent="0.25">
      <c r="A1" s="335" t="s">
        <v>3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24" s="1" customFormat="1" ht="11" x14ac:dyDescent="0.15">
      <c r="A2" s="123" t="str">
        <f>INDATA!A2</f>
        <v>Fastighetsnära säsongslagring av fjärrvärme, Energiforsk rapport 2016:321, år 2016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  <c r="N2" s="298"/>
      <c r="O2" s="298"/>
      <c r="P2" s="298"/>
      <c r="Q2" s="298"/>
      <c r="R2" s="298"/>
      <c r="S2" s="298"/>
      <c r="T2" s="298"/>
      <c r="U2" s="298"/>
      <c r="V2" s="298"/>
      <c r="W2" s="298"/>
    </row>
    <row r="3" spans="1:24" s="1" customFormat="1" ht="11" x14ac:dyDescent="0.15">
      <c r="A3" s="117" t="str">
        <f>INDATA!A3</f>
        <v>Utvecklat av DEVCCO och SP Sveriges Tekniska Forskningsintitut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9"/>
      <c r="N3" s="298"/>
      <c r="O3" s="298"/>
      <c r="P3" s="298"/>
      <c r="Q3" s="298"/>
      <c r="R3" s="298"/>
      <c r="S3" s="298"/>
      <c r="T3" s="298"/>
      <c r="U3" s="298"/>
      <c r="V3" s="298"/>
      <c r="W3" s="298"/>
    </row>
    <row r="4" spans="1:24" s="1" customFormat="1" ht="11" x14ac:dyDescent="0.15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9"/>
      <c r="N4" s="298"/>
      <c r="O4" s="298"/>
      <c r="P4" s="298"/>
      <c r="Q4" s="298"/>
      <c r="R4" s="298"/>
      <c r="S4" s="298"/>
      <c r="T4" s="298"/>
      <c r="U4" s="298"/>
      <c r="V4" s="298"/>
      <c r="W4" s="298"/>
    </row>
    <row r="5" spans="1:24" s="1" customFormat="1" ht="11" x14ac:dyDescent="0.15">
      <c r="A5" s="117" t="str">
        <f>INDATA!A5</f>
        <v>Oskar Räftegård och Mikael Rosén, SP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9"/>
      <c r="N5" s="298"/>
      <c r="O5" s="298"/>
      <c r="P5" s="298"/>
      <c r="Q5" s="298"/>
      <c r="R5" s="298"/>
      <c r="S5" s="298"/>
      <c r="T5" s="298"/>
      <c r="U5" s="298"/>
      <c r="V5" s="298"/>
      <c r="W5" s="298"/>
    </row>
    <row r="6" spans="1:24" s="1" customFormat="1" ht="11" x14ac:dyDescent="0.15">
      <c r="A6" s="117" t="str">
        <f>INDATA!A6</f>
        <v>Joakim Nilsson och Jonathan Cygnaeus, DEVCCO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9"/>
      <c r="N6" s="298"/>
      <c r="O6" s="298"/>
      <c r="P6" s="298"/>
      <c r="Q6" s="298"/>
      <c r="R6" s="298"/>
      <c r="S6" s="298"/>
      <c r="T6" s="298"/>
      <c r="U6" s="298"/>
      <c r="V6" s="298"/>
      <c r="W6" s="298"/>
    </row>
    <row r="7" spans="1:24" s="1" customFormat="1" ht="11" x14ac:dyDescent="0.15">
      <c r="A7" s="120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2"/>
      <c r="N7" s="298"/>
      <c r="O7" s="298"/>
      <c r="P7" s="298"/>
      <c r="Q7" s="298"/>
      <c r="R7" s="298"/>
      <c r="S7" s="298"/>
      <c r="T7" s="298"/>
      <c r="U7" s="298"/>
      <c r="V7" s="298"/>
      <c r="W7" s="298"/>
    </row>
    <row r="8" spans="1:24" x14ac:dyDescent="0.2">
      <c r="A8" s="24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40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</row>
    <row r="9" spans="1:24" x14ac:dyDescent="0.2">
      <c r="A9" s="135" t="s">
        <v>4</v>
      </c>
      <c r="B9" s="141"/>
      <c r="C9" s="141"/>
      <c r="D9" s="141"/>
      <c r="E9" s="141"/>
      <c r="F9" s="141"/>
      <c r="G9" s="141"/>
      <c r="H9" s="141"/>
      <c r="I9" s="142"/>
      <c r="J9" s="71"/>
      <c r="K9" s="71"/>
      <c r="L9" s="71"/>
      <c r="M9" s="74"/>
      <c r="N9" s="68"/>
      <c r="O9" s="68"/>
      <c r="P9" s="68"/>
      <c r="Q9" s="68"/>
    </row>
    <row r="10" spans="1:24" x14ac:dyDescent="0.2">
      <c r="A10" s="143"/>
      <c r="B10" s="144"/>
      <c r="C10" s="144"/>
      <c r="D10" s="144"/>
      <c r="E10" s="144"/>
      <c r="F10" s="144"/>
      <c r="G10" s="144"/>
      <c r="H10" s="144"/>
      <c r="I10" s="145"/>
      <c r="J10" s="71"/>
      <c r="K10" s="71"/>
      <c r="L10" s="71"/>
      <c r="M10" s="74"/>
      <c r="N10" s="68"/>
      <c r="O10" s="68"/>
      <c r="P10" s="68"/>
      <c r="Q10" s="68"/>
    </row>
    <row r="11" spans="1:24" x14ac:dyDescent="0.2">
      <c r="A11" s="9"/>
      <c r="B11" s="41"/>
      <c r="C11" s="41"/>
      <c r="D11" s="41"/>
      <c r="E11" s="41"/>
      <c r="F11" s="41"/>
      <c r="G11" s="41"/>
      <c r="H11" s="41"/>
      <c r="I11" s="10"/>
      <c r="J11" s="41"/>
      <c r="K11" s="41"/>
      <c r="L11" s="41"/>
      <c r="M11" s="42"/>
      <c r="N11" s="68"/>
      <c r="O11" s="68"/>
      <c r="P11" s="68"/>
      <c r="Q11" s="68"/>
    </row>
    <row r="12" spans="1:24" s="67" customFormat="1" x14ac:dyDescent="0.2">
      <c r="A12" s="723" t="s">
        <v>47</v>
      </c>
      <c r="B12" s="724"/>
      <c r="C12" s="724"/>
      <c r="D12" s="724"/>
      <c r="E12" s="724"/>
      <c r="F12" s="724"/>
      <c r="G12" s="724"/>
      <c r="H12" s="724"/>
      <c r="I12" s="724"/>
      <c r="J12" s="724"/>
      <c r="K12" s="724"/>
      <c r="L12" s="724"/>
      <c r="M12" s="725"/>
    </row>
    <row r="13" spans="1:24" s="67" customFormat="1" x14ac:dyDescent="0.2">
      <c r="A13" s="327"/>
      <c r="B13" s="328"/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9"/>
    </row>
    <row r="14" spans="1:24" x14ac:dyDescent="0.2">
      <c r="A14" s="78" t="s">
        <v>46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4"/>
      <c r="N14" s="68"/>
      <c r="O14" s="68"/>
      <c r="P14" s="68"/>
      <c r="Q14" s="68"/>
    </row>
    <row r="15" spans="1:24" x14ac:dyDescent="0.2">
      <c r="A15" s="53" t="s">
        <v>19</v>
      </c>
      <c r="B15" s="286" t="s">
        <v>20</v>
      </c>
      <c r="C15" s="286" t="s">
        <v>21</v>
      </c>
      <c r="D15" s="286" t="s">
        <v>22</v>
      </c>
      <c r="E15" s="286" t="s">
        <v>23</v>
      </c>
      <c r="F15" s="286" t="s">
        <v>24</v>
      </c>
      <c r="G15" s="286" t="s">
        <v>25</v>
      </c>
      <c r="H15" s="286" t="s">
        <v>26</v>
      </c>
      <c r="I15" s="286" t="s">
        <v>27</v>
      </c>
      <c r="J15" s="286" t="s">
        <v>28</v>
      </c>
      <c r="K15" s="286" t="s">
        <v>29</v>
      </c>
      <c r="L15" s="286" t="s">
        <v>30</v>
      </c>
      <c r="M15" s="286" t="s">
        <v>31</v>
      </c>
      <c r="N15" s="68"/>
      <c r="O15" s="443" t="s">
        <v>337</v>
      </c>
      <c r="P15" s="68"/>
      <c r="Q15" s="68"/>
    </row>
    <row r="16" spans="1:24" x14ac:dyDescent="0.2">
      <c r="A16" s="22" t="str">
        <f>INDATA!A57</f>
        <v>HVC EO1</v>
      </c>
      <c r="B16" s="307">
        <f>($O16*3.6)</f>
        <v>288</v>
      </c>
      <c r="C16" s="307">
        <f t="shared" ref="C16:M16" si="0">($O16*3.6)</f>
        <v>288</v>
      </c>
      <c r="D16" s="307">
        <f t="shared" si="0"/>
        <v>288</v>
      </c>
      <c r="E16" s="307">
        <f t="shared" si="0"/>
        <v>288</v>
      </c>
      <c r="F16" s="307">
        <f t="shared" si="0"/>
        <v>288</v>
      </c>
      <c r="G16" s="307">
        <f t="shared" si="0"/>
        <v>288</v>
      </c>
      <c r="H16" s="307">
        <f t="shared" si="0"/>
        <v>288</v>
      </c>
      <c r="I16" s="307">
        <f t="shared" si="0"/>
        <v>288</v>
      </c>
      <c r="J16" s="307">
        <f t="shared" si="0"/>
        <v>288</v>
      </c>
      <c r="K16" s="307">
        <f t="shared" si="0"/>
        <v>288</v>
      </c>
      <c r="L16" s="307">
        <f t="shared" si="0"/>
        <v>288</v>
      </c>
      <c r="M16" s="307">
        <f t="shared" si="0"/>
        <v>288</v>
      </c>
      <c r="N16" s="68"/>
      <c r="O16" s="383">
        <v>80</v>
      </c>
      <c r="P16" s="68" t="s">
        <v>319</v>
      </c>
      <c r="Q16" s="68"/>
    </row>
    <row r="17" spans="1:17" x14ac:dyDescent="0.2">
      <c r="A17" s="22" t="str">
        <f>INDATA!A58</f>
        <v>HVC bioolja</v>
      </c>
      <c r="B17" s="306">
        <f t="shared" ref="B17:M24" si="1">($O17*3.6)</f>
        <v>0.72000000000000008</v>
      </c>
      <c r="C17" s="306">
        <f t="shared" si="1"/>
        <v>0.72000000000000008</v>
      </c>
      <c r="D17" s="306">
        <f t="shared" si="1"/>
        <v>0.72000000000000008</v>
      </c>
      <c r="E17" s="306">
        <f t="shared" si="1"/>
        <v>0.72000000000000008</v>
      </c>
      <c r="F17" s="306">
        <f t="shared" si="1"/>
        <v>0.72000000000000008</v>
      </c>
      <c r="G17" s="306">
        <f t="shared" si="1"/>
        <v>0.72000000000000008</v>
      </c>
      <c r="H17" s="306">
        <f t="shared" si="1"/>
        <v>0.72000000000000008</v>
      </c>
      <c r="I17" s="306">
        <f t="shared" si="1"/>
        <v>0.72000000000000008</v>
      </c>
      <c r="J17" s="306">
        <f t="shared" si="1"/>
        <v>0.72000000000000008</v>
      </c>
      <c r="K17" s="306">
        <f t="shared" si="1"/>
        <v>0.72000000000000008</v>
      </c>
      <c r="L17" s="306">
        <f t="shared" si="1"/>
        <v>0.72000000000000008</v>
      </c>
      <c r="M17" s="306">
        <f t="shared" si="1"/>
        <v>0.72000000000000008</v>
      </c>
      <c r="N17" s="68"/>
      <c r="O17" s="382">
        <v>0.2</v>
      </c>
      <c r="P17" s="304" t="s">
        <v>319</v>
      </c>
      <c r="Q17" s="68"/>
    </row>
    <row r="18" spans="1:17" x14ac:dyDescent="0.2">
      <c r="A18" s="22" t="str">
        <f>INDATA!A59</f>
        <v>HVC pellets</v>
      </c>
      <c r="B18" s="306">
        <f t="shared" si="1"/>
        <v>7.9200000000000008</v>
      </c>
      <c r="C18" s="306">
        <f t="shared" si="1"/>
        <v>7.9200000000000008</v>
      </c>
      <c r="D18" s="306">
        <f t="shared" si="1"/>
        <v>7.9200000000000008</v>
      </c>
      <c r="E18" s="306">
        <f t="shared" si="1"/>
        <v>7.9200000000000008</v>
      </c>
      <c r="F18" s="306">
        <f t="shared" si="1"/>
        <v>7.9200000000000008</v>
      </c>
      <c r="G18" s="306">
        <f t="shared" si="1"/>
        <v>7.9200000000000008</v>
      </c>
      <c r="H18" s="306">
        <f t="shared" si="1"/>
        <v>7.9200000000000008</v>
      </c>
      <c r="I18" s="306">
        <f t="shared" si="1"/>
        <v>7.9200000000000008</v>
      </c>
      <c r="J18" s="306">
        <f t="shared" si="1"/>
        <v>7.9200000000000008</v>
      </c>
      <c r="K18" s="306">
        <f t="shared" si="1"/>
        <v>7.9200000000000008</v>
      </c>
      <c r="L18" s="306">
        <f t="shared" si="1"/>
        <v>7.9200000000000008</v>
      </c>
      <c r="M18" s="306">
        <f t="shared" si="1"/>
        <v>7.9200000000000008</v>
      </c>
      <c r="N18" s="68"/>
      <c r="O18" s="382">
        <v>2.2000000000000002</v>
      </c>
      <c r="P18" s="304" t="s">
        <v>320</v>
      </c>
      <c r="Q18" s="68"/>
    </row>
    <row r="19" spans="1:17" x14ac:dyDescent="0.2">
      <c r="A19" s="22" t="str">
        <f>INDATA!A60</f>
        <v>KVV avfall</v>
      </c>
      <c r="B19" s="307">
        <f t="shared" si="1"/>
        <v>136.80000000000001</v>
      </c>
      <c r="C19" s="307">
        <f t="shared" si="1"/>
        <v>136.80000000000001</v>
      </c>
      <c r="D19" s="307">
        <f t="shared" si="1"/>
        <v>136.80000000000001</v>
      </c>
      <c r="E19" s="307">
        <f t="shared" si="1"/>
        <v>136.80000000000001</v>
      </c>
      <c r="F19" s="307">
        <f t="shared" si="1"/>
        <v>136.80000000000001</v>
      </c>
      <c r="G19" s="307">
        <f t="shared" si="1"/>
        <v>136.80000000000001</v>
      </c>
      <c r="H19" s="307">
        <f t="shared" si="1"/>
        <v>136.80000000000001</v>
      </c>
      <c r="I19" s="307">
        <f t="shared" si="1"/>
        <v>136.80000000000001</v>
      </c>
      <c r="J19" s="307">
        <f t="shared" si="1"/>
        <v>136.80000000000001</v>
      </c>
      <c r="K19" s="307">
        <f t="shared" si="1"/>
        <v>136.80000000000001</v>
      </c>
      <c r="L19" s="307">
        <f t="shared" si="1"/>
        <v>136.80000000000001</v>
      </c>
      <c r="M19" s="307">
        <f t="shared" si="1"/>
        <v>136.80000000000001</v>
      </c>
      <c r="N19" s="68"/>
      <c r="O19" s="383">
        <v>38</v>
      </c>
      <c r="P19" s="304" t="s">
        <v>319</v>
      </c>
      <c r="Q19" s="68"/>
    </row>
    <row r="20" spans="1:17" x14ac:dyDescent="0.2">
      <c r="A20" s="22" t="str">
        <f>INDATA!A61</f>
        <v>KVV grot</v>
      </c>
      <c r="B20" s="306">
        <f t="shared" si="1"/>
        <v>7.9200000000000008</v>
      </c>
      <c r="C20" s="306">
        <f t="shared" si="1"/>
        <v>7.9200000000000008</v>
      </c>
      <c r="D20" s="306">
        <f t="shared" si="1"/>
        <v>7.9200000000000008</v>
      </c>
      <c r="E20" s="306">
        <f t="shared" si="1"/>
        <v>7.9200000000000008</v>
      </c>
      <c r="F20" s="306">
        <f t="shared" si="1"/>
        <v>7.9200000000000008</v>
      </c>
      <c r="G20" s="306">
        <f t="shared" si="1"/>
        <v>7.9200000000000008</v>
      </c>
      <c r="H20" s="306">
        <f t="shared" si="1"/>
        <v>7.9200000000000008</v>
      </c>
      <c r="I20" s="306">
        <f t="shared" si="1"/>
        <v>7.9200000000000008</v>
      </c>
      <c r="J20" s="306">
        <f t="shared" si="1"/>
        <v>7.9200000000000008</v>
      </c>
      <c r="K20" s="306">
        <f t="shared" si="1"/>
        <v>7.9200000000000008</v>
      </c>
      <c r="L20" s="306">
        <f t="shared" si="1"/>
        <v>7.9200000000000008</v>
      </c>
      <c r="M20" s="306">
        <f t="shared" si="1"/>
        <v>7.9200000000000008</v>
      </c>
      <c r="N20" s="68"/>
      <c r="O20" s="382">
        <v>2.2000000000000002</v>
      </c>
      <c r="P20" s="304" t="s">
        <v>320</v>
      </c>
      <c r="Q20" s="68"/>
    </row>
    <row r="21" spans="1:17" x14ac:dyDescent="0.2">
      <c r="A21" s="22" t="str">
        <f>INDATA!A62</f>
        <v>Värmepump COP3</v>
      </c>
      <c r="B21" s="307">
        <f>INDEX(B93:B96,INDATA!$E$69)</f>
        <v>884</v>
      </c>
      <c r="C21" s="307">
        <f>INDEX(C93:C96,INDATA!$E$69)</f>
        <v>884</v>
      </c>
      <c r="D21" s="307">
        <f>INDEX(D93:D96,INDATA!$E$69)</f>
        <v>884</v>
      </c>
      <c r="E21" s="307">
        <f>INDEX(E93:E96,INDATA!$E$69)</f>
        <v>884</v>
      </c>
      <c r="F21" s="307">
        <f>INDEX(F93:F96,INDATA!$E$69)</f>
        <v>884</v>
      </c>
      <c r="G21" s="307">
        <f>INDEX(G93:G96,INDATA!$E$69)</f>
        <v>884</v>
      </c>
      <c r="H21" s="307">
        <f>INDEX(H93:H96,INDATA!$E$69)</f>
        <v>884</v>
      </c>
      <c r="I21" s="307">
        <f>INDEX(I93:I96,INDATA!$E$69)</f>
        <v>884</v>
      </c>
      <c r="J21" s="307">
        <f>INDEX(J93:J96,INDATA!$E$69)</f>
        <v>884</v>
      </c>
      <c r="K21" s="307">
        <f>INDEX(K93:K96,INDATA!$E$69)</f>
        <v>884</v>
      </c>
      <c r="L21" s="307">
        <f>INDEX(L93:L96,INDATA!$E$69)</f>
        <v>884</v>
      </c>
      <c r="M21" s="307">
        <f>INDEX(M93:M96,INDATA!$E$69)</f>
        <v>884</v>
      </c>
      <c r="N21" s="68"/>
      <c r="O21" s="239" t="s">
        <v>324</v>
      </c>
      <c r="P21" s="304" t="s">
        <v>321</v>
      </c>
      <c r="Q21" s="68"/>
    </row>
    <row r="22" spans="1:17" x14ac:dyDescent="0.2">
      <c r="A22" s="22" t="str">
        <f>INDATA!A63</f>
        <v>Spillvärme industri</v>
      </c>
      <c r="B22" s="306">
        <f t="shared" si="1"/>
        <v>0</v>
      </c>
      <c r="C22" s="306">
        <f t="shared" si="1"/>
        <v>0</v>
      </c>
      <c r="D22" s="306">
        <f t="shared" si="1"/>
        <v>0</v>
      </c>
      <c r="E22" s="306">
        <f t="shared" si="1"/>
        <v>0</v>
      </c>
      <c r="F22" s="306">
        <f t="shared" si="1"/>
        <v>0</v>
      </c>
      <c r="G22" s="306">
        <f t="shared" si="1"/>
        <v>0</v>
      </c>
      <c r="H22" s="306">
        <f t="shared" si="1"/>
        <v>0</v>
      </c>
      <c r="I22" s="306">
        <f t="shared" si="1"/>
        <v>0</v>
      </c>
      <c r="J22" s="306">
        <f t="shared" si="1"/>
        <v>0</v>
      </c>
      <c r="K22" s="306">
        <f t="shared" si="1"/>
        <v>0</v>
      </c>
      <c r="L22" s="306">
        <f t="shared" si="1"/>
        <v>0</v>
      </c>
      <c r="M22" s="306">
        <f t="shared" si="1"/>
        <v>0</v>
      </c>
      <c r="N22" s="68"/>
      <c r="O22" s="382">
        <v>0</v>
      </c>
      <c r="P22" s="304" t="s">
        <v>323</v>
      </c>
      <c r="Q22" s="68"/>
    </row>
    <row r="23" spans="1:17" x14ac:dyDescent="0.2">
      <c r="A23" s="22" t="str">
        <f>INDATA!A64</f>
        <v>HVC Gas</v>
      </c>
      <c r="B23" s="307">
        <f t="shared" si="1"/>
        <v>248.4</v>
      </c>
      <c r="C23" s="307">
        <f t="shared" si="1"/>
        <v>248.4</v>
      </c>
      <c r="D23" s="307">
        <f t="shared" si="1"/>
        <v>248.4</v>
      </c>
      <c r="E23" s="307">
        <f t="shared" si="1"/>
        <v>248.4</v>
      </c>
      <c r="F23" s="307">
        <f t="shared" si="1"/>
        <v>248.4</v>
      </c>
      <c r="G23" s="307">
        <f t="shared" si="1"/>
        <v>248.4</v>
      </c>
      <c r="H23" s="307">
        <f t="shared" si="1"/>
        <v>248.4</v>
      </c>
      <c r="I23" s="307">
        <f t="shared" si="1"/>
        <v>248.4</v>
      </c>
      <c r="J23" s="307">
        <f t="shared" si="1"/>
        <v>248.4</v>
      </c>
      <c r="K23" s="307">
        <f t="shared" si="1"/>
        <v>248.4</v>
      </c>
      <c r="L23" s="307">
        <f t="shared" si="1"/>
        <v>248.4</v>
      </c>
      <c r="M23" s="307">
        <f t="shared" si="1"/>
        <v>248.4</v>
      </c>
      <c r="N23" s="68"/>
      <c r="O23" s="382">
        <v>69</v>
      </c>
      <c r="P23" s="304" t="s">
        <v>319</v>
      </c>
      <c r="Q23" s="68"/>
    </row>
    <row r="24" spans="1:17" x14ac:dyDescent="0.2">
      <c r="A24" s="22" t="str">
        <f>INDATA!A65</f>
        <v>KVV Gas</v>
      </c>
      <c r="B24" s="653">
        <f t="shared" si="1"/>
        <v>248.4</v>
      </c>
      <c r="C24" s="653">
        <f t="shared" si="1"/>
        <v>248.4</v>
      </c>
      <c r="D24" s="653">
        <f t="shared" si="1"/>
        <v>248.4</v>
      </c>
      <c r="E24" s="653">
        <f t="shared" si="1"/>
        <v>248.4</v>
      </c>
      <c r="F24" s="653">
        <f t="shared" si="1"/>
        <v>248.4</v>
      </c>
      <c r="G24" s="653">
        <f t="shared" si="1"/>
        <v>248.4</v>
      </c>
      <c r="H24" s="653">
        <f t="shared" si="1"/>
        <v>248.4</v>
      </c>
      <c r="I24" s="653">
        <f t="shared" si="1"/>
        <v>248.4</v>
      </c>
      <c r="J24" s="653">
        <f t="shared" si="1"/>
        <v>248.4</v>
      </c>
      <c r="K24" s="653">
        <f t="shared" si="1"/>
        <v>248.4</v>
      </c>
      <c r="L24" s="653">
        <f t="shared" si="1"/>
        <v>248.4</v>
      </c>
      <c r="M24" s="653">
        <f t="shared" si="1"/>
        <v>248.4</v>
      </c>
      <c r="N24" s="68"/>
      <c r="O24" s="382">
        <v>69</v>
      </c>
      <c r="P24" s="304" t="s">
        <v>319</v>
      </c>
      <c r="Q24" s="68"/>
    </row>
    <row r="25" spans="1:17" x14ac:dyDescent="0.2">
      <c r="A25" s="22" t="str">
        <f>INDATA!A66</f>
        <v>Valfri 3</v>
      </c>
      <c r="B25" s="307"/>
      <c r="C25" s="307"/>
      <c r="D25" s="307"/>
      <c r="E25" s="307"/>
      <c r="F25" s="307"/>
      <c r="G25" s="307"/>
      <c r="H25" s="307"/>
      <c r="I25" s="307"/>
      <c r="J25" s="307"/>
      <c r="K25" s="307"/>
      <c r="L25" s="307"/>
      <c r="M25" s="307"/>
      <c r="N25" s="68"/>
      <c r="O25" s="68"/>
      <c r="P25" s="304"/>
      <c r="Q25" s="68"/>
    </row>
    <row r="26" spans="1:17" x14ac:dyDescent="0.2">
      <c r="A26" s="77"/>
      <c r="B26" s="330"/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1"/>
      <c r="N26" s="68"/>
      <c r="O26" s="68"/>
      <c r="P26" s="68"/>
      <c r="Q26" s="68"/>
    </row>
    <row r="27" spans="1:17" x14ac:dyDescent="0.2">
      <c r="A27" s="76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2"/>
      <c r="N27" s="68"/>
      <c r="O27" s="68"/>
      <c r="P27" s="68"/>
      <c r="Q27" s="68"/>
    </row>
    <row r="28" spans="1:17" x14ac:dyDescent="0.2"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4"/>
      <c r="N28" s="68"/>
      <c r="O28" s="68"/>
      <c r="P28" s="68"/>
      <c r="Q28" s="68"/>
    </row>
    <row r="29" spans="1:17" x14ac:dyDescent="0.2">
      <c r="A29" s="46" t="s">
        <v>313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2"/>
      <c r="N29" s="68"/>
      <c r="O29" s="68"/>
      <c r="P29" s="68"/>
      <c r="Q29" s="68"/>
    </row>
    <row r="30" spans="1:17" x14ac:dyDescent="0.2">
      <c r="A30" s="53" t="s">
        <v>19</v>
      </c>
      <c r="B30" s="286" t="s">
        <v>20</v>
      </c>
      <c r="C30" s="286" t="s">
        <v>21</v>
      </c>
      <c r="D30" s="286" t="s">
        <v>22</v>
      </c>
      <c r="E30" s="286" t="s">
        <v>23</v>
      </c>
      <c r="F30" s="286" t="s">
        <v>24</v>
      </c>
      <c r="G30" s="286" t="s">
        <v>25</v>
      </c>
      <c r="H30" s="286" t="s">
        <v>26</v>
      </c>
      <c r="I30" s="286" t="s">
        <v>27</v>
      </c>
      <c r="J30" s="286" t="s">
        <v>28</v>
      </c>
      <c r="K30" s="286" t="s">
        <v>29</v>
      </c>
      <c r="L30" s="286" t="s">
        <v>30</v>
      </c>
      <c r="M30" s="286" t="s">
        <v>31</v>
      </c>
      <c r="N30" s="68"/>
      <c r="O30" s="68"/>
      <c r="P30" s="68"/>
      <c r="Q30" s="68"/>
    </row>
    <row r="31" spans="1:17" x14ac:dyDescent="0.2">
      <c r="A31" s="22" t="str">
        <f>INDATA!A57</f>
        <v>HVC EO1</v>
      </c>
      <c r="B31" s="305">
        <v>1.1100000000000001</v>
      </c>
      <c r="C31" s="305">
        <v>1.1100000000000001</v>
      </c>
      <c r="D31" s="305">
        <v>1.1100000000000001</v>
      </c>
      <c r="E31" s="305">
        <v>1.1100000000000001</v>
      </c>
      <c r="F31" s="305">
        <v>1.1100000000000001</v>
      </c>
      <c r="G31" s="305">
        <v>1.1100000000000001</v>
      </c>
      <c r="H31" s="305">
        <v>1.1100000000000001</v>
      </c>
      <c r="I31" s="305">
        <v>1.1100000000000001</v>
      </c>
      <c r="J31" s="305">
        <v>1.1100000000000001</v>
      </c>
      <c r="K31" s="305">
        <v>1.1100000000000001</v>
      </c>
      <c r="L31" s="305">
        <v>1.1100000000000001</v>
      </c>
      <c r="M31" s="305">
        <v>1.1100000000000001</v>
      </c>
      <c r="N31" s="68"/>
      <c r="O31" s="68"/>
      <c r="P31" s="384" t="s">
        <v>325</v>
      </c>
      <c r="Q31" s="68"/>
    </row>
    <row r="32" spans="1:17" x14ac:dyDescent="0.2">
      <c r="A32" s="22" t="str">
        <f>INDATA!A58</f>
        <v>HVC bioolja</v>
      </c>
      <c r="B32" s="305">
        <v>0.04</v>
      </c>
      <c r="C32" s="305">
        <v>0.04</v>
      </c>
      <c r="D32" s="305">
        <v>0.04</v>
      </c>
      <c r="E32" s="305">
        <v>0.04</v>
      </c>
      <c r="F32" s="305">
        <v>0.04</v>
      </c>
      <c r="G32" s="305">
        <v>0.04</v>
      </c>
      <c r="H32" s="305">
        <v>0.04</v>
      </c>
      <c r="I32" s="305">
        <v>0.04</v>
      </c>
      <c r="J32" s="305">
        <v>0.04</v>
      </c>
      <c r="K32" s="305">
        <v>0.04</v>
      </c>
      <c r="L32" s="305">
        <v>0.04</v>
      </c>
      <c r="M32" s="305">
        <v>0.04</v>
      </c>
      <c r="N32" s="68"/>
      <c r="O32" s="68"/>
      <c r="P32" s="384" t="s">
        <v>326</v>
      </c>
      <c r="Q32" s="68"/>
    </row>
    <row r="33" spans="1:26" x14ac:dyDescent="0.2">
      <c r="A33" s="22" t="str">
        <f>INDATA!A59</f>
        <v>HVC pellets</v>
      </c>
      <c r="B33" s="305">
        <v>1.1100000000000001</v>
      </c>
      <c r="C33" s="305">
        <v>1.1100000000000001</v>
      </c>
      <c r="D33" s="305">
        <v>1.1100000000000001</v>
      </c>
      <c r="E33" s="305">
        <v>1.1100000000000001</v>
      </c>
      <c r="F33" s="305">
        <v>1.1100000000000001</v>
      </c>
      <c r="G33" s="305">
        <v>1.1100000000000001</v>
      </c>
      <c r="H33" s="305">
        <v>1.1100000000000001</v>
      </c>
      <c r="I33" s="305">
        <v>1.1100000000000001</v>
      </c>
      <c r="J33" s="305">
        <v>1.1100000000000001</v>
      </c>
      <c r="K33" s="305">
        <v>1.1100000000000001</v>
      </c>
      <c r="L33" s="305">
        <v>1.1100000000000001</v>
      </c>
      <c r="M33" s="305">
        <v>1.1100000000000001</v>
      </c>
      <c r="N33" s="68"/>
      <c r="O33" s="68"/>
      <c r="P33" s="384" t="s">
        <v>325</v>
      </c>
      <c r="Q33" s="68"/>
    </row>
    <row r="34" spans="1:26" x14ac:dyDescent="0.2">
      <c r="A34" s="22" t="str">
        <f>INDATA!A60</f>
        <v>KVV avfall</v>
      </c>
      <c r="B34" s="305">
        <v>0.04</v>
      </c>
      <c r="C34" s="305">
        <v>0.04</v>
      </c>
      <c r="D34" s="305">
        <v>0.04</v>
      </c>
      <c r="E34" s="305">
        <v>0.04</v>
      </c>
      <c r="F34" s="305">
        <v>0.04</v>
      </c>
      <c r="G34" s="305">
        <v>0.04</v>
      </c>
      <c r="H34" s="305">
        <v>0.04</v>
      </c>
      <c r="I34" s="305">
        <v>0.04</v>
      </c>
      <c r="J34" s="305">
        <v>0.04</v>
      </c>
      <c r="K34" s="305">
        <v>0.04</v>
      </c>
      <c r="L34" s="305">
        <v>0.04</v>
      </c>
      <c r="M34" s="305">
        <v>0.04</v>
      </c>
      <c r="N34" s="68"/>
      <c r="O34" s="68"/>
      <c r="P34" s="384" t="s">
        <v>325</v>
      </c>
      <c r="Q34" s="68"/>
    </row>
    <row r="35" spans="1:26" x14ac:dyDescent="0.2">
      <c r="A35" s="22" t="str">
        <f>INDATA!A61</f>
        <v>KVV grot</v>
      </c>
      <c r="B35" s="305">
        <v>0.03</v>
      </c>
      <c r="C35" s="305">
        <v>0.03</v>
      </c>
      <c r="D35" s="305">
        <v>0.03</v>
      </c>
      <c r="E35" s="305">
        <v>0.03</v>
      </c>
      <c r="F35" s="305">
        <v>0.03</v>
      </c>
      <c r="G35" s="305">
        <v>0.03</v>
      </c>
      <c r="H35" s="305">
        <v>0.03</v>
      </c>
      <c r="I35" s="305">
        <v>0.03</v>
      </c>
      <c r="J35" s="305">
        <v>0.03</v>
      </c>
      <c r="K35" s="305">
        <v>0.03</v>
      </c>
      <c r="L35" s="305">
        <v>0.03</v>
      </c>
      <c r="M35" s="305">
        <v>0.03</v>
      </c>
      <c r="N35" s="68"/>
      <c r="O35" s="68"/>
      <c r="P35" s="384" t="s">
        <v>325</v>
      </c>
      <c r="Q35" s="68"/>
    </row>
    <row r="36" spans="1:26" x14ac:dyDescent="0.2">
      <c r="A36" s="22" t="str">
        <f>INDATA!A62</f>
        <v>Värmepump COP3</v>
      </c>
      <c r="B36" s="385">
        <f>INDEX($B$100:$M$103,INDATA!$E$69,1)</f>
        <v>2.6436781609195399</v>
      </c>
      <c r="C36" s="385">
        <f>INDEX($B$100:$M$103,INDATA!$E$69,2)</f>
        <v>2.6436781609195399</v>
      </c>
      <c r="D36" s="385">
        <f>INDEX($B$100:$M$103,INDATA!$E$69,3)</f>
        <v>2.6436781609195399</v>
      </c>
      <c r="E36" s="385">
        <f>INDEX($B$100:$M$103,INDATA!$E$69,4)</f>
        <v>2.6436781609195399</v>
      </c>
      <c r="F36" s="385">
        <f>INDEX($B$100:$M$103,INDATA!$E$69,5)</f>
        <v>2.6436781609195399</v>
      </c>
      <c r="G36" s="385">
        <f>INDEX($B$100:$M$103,INDATA!$E$69,6)</f>
        <v>2.6436781609195399</v>
      </c>
      <c r="H36" s="385">
        <f>INDEX($B$100:$M$103,INDATA!$E$69,7)</f>
        <v>2.6436781609195399</v>
      </c>
      <c r="I36" s="385">
        <f>INDEX($B$100:$M$103,INDATA!$E$69,8)</f>
        <v>2.6436781609195399</v>
      </c>
      <c r="J36" s="385">
        <f>INDEX($B$100:$M$103,INDATA!$E$69,9)</f>
        <v>2.6436781609195399</v>
      </c>
      <c r="K36" s="385">
        <f>INDEX($B$100:$M$103,INDATA!$E$69,10)</f>
        <v>2.6436781609195399</v>
      </c>
      <c r="L36" s="385">
        <f>INDEX($B$100:$M$103,INDATA!$E$69,11)</f>
        <v>2.6436781609195399</v>
      </c>
      <c r="M36" s="385">
        <f>INDEX($B$100:$M$103,INDATA!$E$69,12)</f>
        <v>2.6436781609195399</v>
      </c>
      <c r="N36" s="68"/>
      <c r="O36" s="68"/>
      <c r="P36" s="384"/>
      <c r="Q36" s="68"/>
    </row>
    <row r="37" spans="1:26" x14ac:dyDescent="0.2">
      <c r="A37" s="22" t="str">
        <f>INDATA!A63</f>
        <v>Spillvärme industri</v>
      </c>
      <c r="B37" s="305">
        <v>0</v>
      </c>
      <c r="C37" s="305">
        <v>0</v>
      </c>
      <c r="D37" s="305">
        <v>0</v>
      </c>
      <c r="E37" s="305">
        <v>0</v>
      </c>
      <c r="F37" s="305">
        <v>0</v>
      </c>
      <c r="G37" s="305">
        <v>0</v>
      </c>
      <c r="H37" s="305">
        <v>0</v>
      </c>
      <c r="I37" s="305">
        <v>0</v>
      </c>
      <c r="J37" s="305">
        <v>0</v>
      </c>
      <c r="K37" s="305">
        <v>0</v>
      </c>
      <c r="L37" s="305">
        <v>0</v>
      </c>
      <c r="M37" s="305">
        <v>0</v>
      </c>
      <c r="N37" s="68"/>
      <c r="O37" s="68"/>
      <c r="P37" s="384" t="s">
        <v>327</v>
      </c>
      <c r="Q37" s="68"/>
    </row>
    <row r="38" spans="1:26" x14ac:dyDescent="0.2">
      <c r="A38" s="22" t="str">
        <f>INDATA!A64</f>
        <v>HVC Gas</v>
      </c>
      <c r="B38" s="305">
        <f>1.09</f>
        <v>1.0900000000000001</v>
      </c>
      <c r="C38" s="305">
        <f t="shared" ref="C38:M39" si="2">1.09</f>
        <v>1.0900000000000001</v>
      </c>
      <c r="D38" s="305">
        <f t="shared" si="2"/>
        <v>1.0900000000000001</v>
      </c>
      <c r="E38" s="305">
        <f t="shared" si="2"/>
        <v>1.0900000000000001</v>
      </c>
      <c r="F38" s="305">
        <f t="shared" si="2"/>
        <v>1.0900000000000001</v>
      </c>
      <c r="G38" s="305">
        <f t="shared" si="2"/>
        <v>1.0900000000000001</v>
      </c>
      <c r="H38" s="305">
        <f t="shared" si="2"/>
        <v>1.0900000000000001</v>
      </c>
      <c r="I38" s="305">
        <f t="shared" si="2"/>
        <v>1.0900000000000001</v>
      </c>
      <c r="J38" s="305">
        <f t="shared" si="2"/>
        <v>1.0900000000000001</v>
      </c>
      <c r="K38" s="305">
        <f t="shared" si="2"/>
        <v>1.0900000000000001</v>
      </c>
      <c r="L38" s="305">
        <f t="shared" si="2"/>
        <v>1.0900000000000001</v>
      </c>
      <c r="M38" s="305">
        <f t="shared" si="2"/>
        <v>1.0900000000000001</v>
      </c>
      <c r="N38" s="68"/>
      <c r="O38" s="68"/>
      <c r="P38" s="384" t="s">
        <v>325</v>
      </c>
      <c r="Q38" s="68"/>
    </row>
    <row r="39" spans="1:26" x14ac:dyDescent="0.2">
      <c r="A39" s="22" t="str">
        <f>INDATA!A65</f>
        <v>KVV Gas</v>
      </c>
      <c r="B39" s="305">
        <f>1.09</f>
        <v>1.0900000000000001</v>
      </c>
      <c r="C39" s="305">
        <f t="shared" si="2"/>
        <v>1.0900000000000001</v>
      </c>
      <c r="D39" s="305">
        <f t="shared" si="2"/>
        <v>1.0900000000000001</v>
      </c>
      <c r="E39" s="305">
        <f t="shared" si="2"/>
        <v>1.0900000000000001</v>
      </c>
      <c r="F39" s="305">
        <f t="shared" si="2"/>
        <v>1.0900000000000001</v>
      </c>
      <c r="G39" s="305">
        <f t="shared" si="2"/>
        <v>1.0900000000000001</v>
      </c>
      <c r="H39" s="305">
        <f t="shared" si="2"/>
        <v>1.0900000000000001</v>
      </c>
      <c r="I39" s="305">
        <f t="shared" si="2"/>
        <v>1.0900000000000001</v>
      </c>
      <c r="J39" s="305">
        <f t="shared" si="2"/>
        <v>1.0900000000000001</v>
      </c>
      <c r="K39" s="305">
        <f t="shared" si="2"/>
        <v>1.0900000000000001</v>
      </c>
      <c r="L39" s="305">
        <f t="shared" si="2"/>
        <v>1.0900000000000001</v>
      </c>
      <c r="M39" s="305">
        <f t="shared" si="2"/>
        <v>1.0900000000000001</v>
      </c>
      <c r="N39" s="68"/>
      <c r="O39" s="654"/>
      <c r="P39" s="384" t="s">
        <v>325</v>
      </c>
      <c r="Q39" s="68"/>
    </row>
    <row r="40" spans="1:26" x14ac:dyDescent="0.2">
      <c r="A40" s="22" t="str">
        <f>INDATA!A66</f>
        <v>Valfri 3</v>
      </c>
      <c r="B40" s="306"/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68"/>
      <c r="O40" s="68"/>
      <c r="P40" s="384"/>
      <c r="Q40" s="68"/>
    </row>
    <row r="41" spans="1:26" x14ac:dyDescent="0.2">
      <c r="A41" s="77" t="s">
        <v>44</v>
      </c>
      <c r="B41" s="330"/>
      <c r="C41" s="330"/>
      <c r="D41" s="330"/>
      <c r="E41" s="330"/>
      <c r="F41" s="330"/>
      <c r="G41" s="330"/>
      <c r="H41" s="330"/>
      <c r="I41" s="330"/>
      <c r="J41" s="330"/>
      <c r="K41" s="330"/>
      <c r="L41" s="330"/>
      <c r="M41" s="331"/>
      <c r="N41" s="68"/>
      <c r="O41" s="68"/>
      <c r="P41" s="68"/>
      <c r="Q41" s="68"/>
    </row>
    <row r="42" spans="1:26" x14ac:dyDescent="0.2">
      <c r="A42" s="76" t="s">
        <v>45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2"/>
      <c r="N42" s="68"/>
      <c r="O42" s="68"/>
      <c r="P42" s="68"/>
      <c r="Q42" s="68"/>
    </row>
    <row r="43" spans="1:26" x14ac:dyDescent="0.2">
      <c r="A43" s="75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4"/>
      <c r="N43" s="68"/>
      <c r="O43" s="68"/>
      <c r="P43" s="68"/>
      <c r="Q43" s="68"/>
    </row>
    <row r="44" spans="1:26" x14ac:dyDescent="0.2">
      <c r="A44" s="78" t="s">
        <v>54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4"/>
      <c r="N44" s="68"/>
      <c r="O44" s="68"/>
      <c r="P44" s="68"/>
      <c r="Q44" s="68"/>
    </row>
    <row r="45" spans="1:26" x14ac:dyDescent="0.2">
      <c r="A45" s="76" t="s">
        <v>51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2"/>
      <c r="N45" s="68"/>
      <c r="O45" s="67" t="s">
        <v>341</v>
      </c>
      <c r="P45" s="67"/>
      <c r="Q45" s="67"/>
      <c r="R45" s="5"/>
      <c r="S45" s="5"/>
      <c r="T45" s="5"/>
      <c r="U45" s="5"/>
      <c r="V45" s="5"/>
      <c r="W45" s="5"/>
      <c r="X45" s="5"/>
      <c r="Y45" s="5"/>
    </row>
    <row r="46" spans="1:26" x14ac:dyDescent="0.2">
      <c r="A46" s="53" t="s">
        <v>19</v>
      </c>
      <c r="B46" s="286" t="s">
        <v>20</v>
      </c>
      <c r="C46" s="286" t="s">
        <v>21</v>
      </c>
      <c r="D46" s="286" t="s">
        <v>22</v>
      </c>
      <c r="E46" s="286" t="s">
        <v>23</v>
      </c>
      <c r="F46" s="286" t="s">
        <v>24</v>
      </c>
      <c r="G46" s="286" t="s">
        <v>25</v>
      </c>
      <c r="H46" s="286" t="s">
        <v>26</v>
      </c>
      <c r="I46" s="286" t="s">
        <v>27</v>
      </c>
      <c r="J46" s="286" t="s">
        <v>28</v>
      </c>
      <c r="K46" s="286" t="s">
        <v>29</v>
      </c>
      <c r="L46" s="286" t="s">
        <v>30</v>
      </c>
      <c r="M46" s="286" t="s">
        <v>31</v>
      </c>
      <c r="N46" s="68"/>
      <c r="O46" s="286" t="s">
        <v>20</v>
      </c>
      <c r="P46" s="286" t="s">
        <v>21</v>
      </c>
      <c r="Q46" s="286" t="s">
        <v>22</v>
      </c>
      <c r="R46" s="286" t="s">
        <v>23</v>
      </c>
      <c r="S46" s="286" t="s">
        <v>24</v>
      </c>
      <c r="T46" s="286" t="s">
        <v>25</v>
      </c>
      <c r="U46" s="286" t="s">
        <v>26</v>
      </c>
      <c r="V46" s="286" t="s">
        <v>27</v>
      </c>
      <c r="W46" s="286" t="s">
        <v>28</v>
      </c>
      <c r="X46" s="286" t="s">
        <v>29</v>
      </c>
      <c r="Y46" s="286" t="s">
        <v>30</v>
      </c>
      <c r="Z46" s="286" t="s">
        <v>31</v>
      </c>
    </row>
    <row r="47" spans="1:26" x14ac:dyDescent="0.2">
      <c r="A47" s="22" t="str">
        <f>INDATA!A57</f>
        <v>HVC EO1</v>
      </c>
      <c r="B47" s="333">
        <v>0.85</v>
      </c>
      <c r="C47" s="333">
        <v>0.85</v>
      </c>
      <c r="D47" s="333">
        <v>0.85</v>
      </c>
      <c r="E47" s="333">
        <v>0.85</v>
      </c>
      <c r="F47" s="333">
        <v>0.85</v>
      </c>
      <c r="G47" s="333">
        <v>0.85</v>
      </c>
      <c r="H47" s="333">
        <v>0.85</v>
      </c>
      <c r="I47" s="333">
        <v>0.85</v>
      </c>
      <c r="J47" s="333">
        <v>0.85</v>
      </c>
      <c r="K47" s="333">
        <v>0.85</v>
      </c>
      <c r="L47" s="333">
        <v>0.85</v>
      </c>
      <c r="M47" s="333">
        <v>0.85</v>
      </c>
      <c r="N47" s="68"/>
      <c r="O47" s="463"/>
      <c r="P47" s="464"/>
      <c r="Q47" s="464"/>
      <c r="R47" s="464"/>
      <c r="S47" s="464"/>
      <c r="T47" s="464"/>
      <c r="U47" s="464"/>
      <c r="V47" s="464"/>
      <c r="W47" s="464"/>
      <c r="X47" s="464"/>
      <c r="Y47" s="464"/>
      <c r="Z47" s="465"/>
    </row>
    <row r="48" spans="1:26" x14ac:dyDescent="0.2">
      <c r="A48" s="22" t="str">
        <f>INDATA!A58</f>
        <v>HVC bioolja</v>
      </c>
      <c r="B48" s="333">
        <v>0.9</v>
      </c>
      <c r="C48" s="333">
        <v>0.9</v>
      </c>
      <c r="D48" s="333">
        <v>0.9</v>
      </c>
      <c r="E48" s="333">
        <v>0.9</v>
      </c>
      <c r="F48" s="333">
        <v>0.9</v>
      </c>
      <c r="G48" s="333">
        <v>0.9</v>
      </c>
      <c r="H48" s="333">
        <v>0.9</v>
      </c>
      <c r="I48" s="333">
        <v>0.9</v>
      </c>
      <c r="J48" s="333">
        <v>0.9</v>
      </c>
      <c r="K48" s="333">
        <v>0.9</v>
      </c>
      <c r="L48" s="333">
        <v>0.9</v>
      </c>
      <c r="M48" s="333">
        <v>0.9</v>
      </c>
      <c r="N48" s="68"/>
      <c r="O48" s="466"/>
      <c r="P48" s="467"/>
      <c r="Q48" s="467"/>
      <c r="R48" s="467"/>
      <c r="S48" s="467"/>
      <c r="T48" s="467"/>
      <c r="U48" s="467"/>
      <c r="V48" s="467"/>
      <c r="W48" s="467"/>
      <c r="X48" s="467"/>
      <c r="Y48" s="467"/>
      <c r="Z48" s="468"/>
    </row>
    <row r="49" spans="1:26" x14ac:dyDescent="0.2">
      <c r="A49" s="23" t="str">
        <f>INDATA!A59</f>
        <v>HVC pellets</v>
      </c>
      <c r="B49" s="334">
        <v>0.8</v>
      </c>
      <c r="C49" s="334">
        <v>0.8</v>
      </c>
      <c r="D49" s="334">
        <v>0.8</v>
      </c>
      <c r="E49" s="334">
        <v>0.8</v>
      </c>
      <c r="F49" s="334">
        <v>0.8</v>
      </c>
      <c r="G49" s="334">
        <v>0.8</v>
      </c>
      <c r="H49" s="334">
        <v>0.8</v>
      </c>
      <c r="I49" s="334">
        <v>0.8</v>
      </c>
      <c r="J49" s="334">
        <v>0.8</v>
      </c>
      <c r="K49" s="334">
        <v>0.8</v>
      </c>
      <c r="L49" s="334">
        <v>0.8</v>
      </c>
      <c r="M49" s="334">
        <v>0.8</v>
      </c>
      <c r="N49" s="68"/>
      <c r="O49" s="466"/>
      <c r="P49" s="467"/>
      <c r="Q49" s="467"/>
      <c r="R49" s="467"/>
      <c r="S49" s="467"/>
      <c r="T49" s="467"/>
      <c r="U49" s="467"/>
      <c r="V49" s="467"/>
      <c r="W49" s="467"/>
      <c r="X49" s="467"/>
      <c r="Y49" s="467"/>
      <c r="Z49" s="468"/>
    </row>
    <row r="50" spans="1:26" x14ac:dyDescent="0.2">
      <c r="A50" s="22" t="str">
        <f>INDATA!A60</f>
        <v>KVV avfall</v>
      </c>
      <c r="B50" s="333">
        <v>1.05</v>
      </c>
      <c r="C50" s="333">
        <v>1.05</v>
      </c>
      <c r="D50" s="333">
        <v>1.05</v>
      </c>
      <c r="E50" s="333">
        <v>1.05</v>
      </c>
      <c r="F50" s="333">
        <v>1.05</v>
      </c>
      <c r="G50" s="333">
        <v>1.05</v>
      </c>
      <c r="H50" s="333">
        <v>1.05</v>
      </c>
      <c r="I50" s="333">
        <v>1.05</v>
      </c>
      <c r="J50" s="333">
        <v>1.05</v>
      </c>
      <c r="K50" s="333">
        <v>1.05</v>
      </c>
      <c r="L50" s="333">
        <v>1.05</v>
      </c>
      <c r="M50" s="333">
        <v>1.05</v>
      </c>
      <c r="N50" s="470"/>
      <c r="O50" s="333">
        <v>0.8</v>
      </c>
      <c r="P50" s="333">
        <v>0.8</v>
      </c>
      <c r="Q50" s="333">
        <v>0.8</v>
      </c>
      <c r="R50" s="333">
        <v>0.8</v>
      </c>
      <c r="S50" s="333">
        <v>0.8</v>
      </c>
      <c r="T50" s="333">
        <v>0.8</v>
      </c>
      <c r="U50" s="333">
        <v>0.8</v>
      </c>
      <c r="V50" s="333">
        <v>0.8</v>
      </c>
      <c r="W50" s="333">
        <v>0.8</v>
      </c>
      <c r="X50" s="333">
        <v>0.8</v>
      </c>
      <c r="Y50" s="333">
        <v>0.8</v>
      </c>
      <c r="Z50" s="333">
        <v>0.8</v>
      </c>
    </row>
    <row r="51" spans="1:26" x14ac:dyDescent="0.2">
      <c r="A51" s="22" t="str">
        <f>INDATA!A61</f>
        <v>KVV grot</v>
      </c>
      <c r="B51" s="333">
        <v>1.05</v>
      </c>
      <c r="C51" s="333">
        <v>1.05</v>
      </c>
      <c r="D51" s="333">
        <v>1.05</v>
      </c>
      <c r="E51" s="333">
        <v>1.05</v>
      </c>
      <c r="F51" s="333">
        <v>1.05</v>
      </c>
      <c r="G51" s="333">
        <v>1.05</v>
      </c>
      <c r="H51" s="333">
        <v>1.05</v>
      </c>
      <c r="I51" s="333">
        <v>1.05</v>
      </c>
      <c r="J51" s="333">
        <v>1.05</v>
      </c>
      <c r="K51" s="333">
        <v>1.05</v>
      </c>
      <c r="L51" s="333">
        <v>1.05</v>
      </c>
      <c r="M51" s="333">
        <v>1.05</v>
      </c>
      <c r="N51" s="199"/>
      <c r="O51" s="333">
        <v>0.8</v>
      </c>
      <c r="P51" s="333">
        <v>0.8</v>
      </c>
      <c r="Q51" s="333">
        <v>0.8</v>
      </c>
      <c r="R51" s="333">
        <v>0.8</v>
      </c>
      <c r="S51" s="333">
        <v>0.8</v>
      </c>
      <c r="T51" s="333">
        <v>0.8</v>
      </c>
      <c r="U51" s="333">
        <v>0.8</v>
      </c>
      <c r="V51" s="333">
        <v>0.8</v>
      </c>
      <c r="W51" s="333">
        <v>0.8</v>
      </c>
      <c r="X51" s="333">
        <v>0.8</v>
      </c>
      <c r="Y51" s="333">
        <v>0.8</v>
      </c>
      <c r="Z51" s="333">
        <v>0.8</v>
      </c>
    </row>
    <row r="52" spans="1:26" x14ac:dyDescent="0.2">
      <c r="A52" s="21" t="str">
        <f>INDATA!A62</f>
        <v>Värmepump COP3</v>
      </c>
      <c r="B52" s="469">
        <v>3</v>
      </c>
      <c r="C52" s="469">
        <v>3</v>
      </c>
      <c r="D52" s="469">
        <v>3</v>
      </c>
      <c r="E52" s="469">
        <v>3</v>
      </c>
      <c r="F52" s="469">
        <v>3</v>
      </c>
      <c r="G52" s="469">
        <v>3</v>
      </c>
      <c r="H52" s="469">
        <v>3</v>
      </c>
      <c r="I52" s="469">
        <v>3</v>
      </c>
      <c r="J52" s="469">
        <v>3</v>
      </c>
      <c r="K52" s="469">
        <v>3</v>
      </c>
      <c r="L52" s="469">
        <v>3</v>
      </c>
      <c r="M52" s="469">
        <v>3</v>
      </c>
      <c r="N52" s="68"/>
      <c r="O52" s="466"/>
      <c r="P52" s="467"/>
      <c r="Q52" s="467"/>
      <c r="R52" s="467"/>
      <c r="S52" s="467"/>
      <c r="T52" s="467"/>
      <c r="U52" s="467"/>
      <c r="V52" s="467"/>
      <c r="W52" s="467"/>
      <c r="X52" s="467"/>
      <c r="Y52" s="467"/>
      <c r="Z52" s="468"/>
    </row>
    <row r="53" spans="1:26" x14ac:dyDescent="0.2">
      <c r="A53" s="23" t="str">
        <f>INDATA!A63</f>
        <v>Spillvärme industri</v>
      </c>
      <c r="B53" s="334">
        <v>1</v>
      </c>
      <c r="C53" s="334">
        <v>1</v>
      </c>
      <c r="D53" s="334">
        <v>1</v>
      </c>
      <c r="E53" s="334">
        <v>1</v>
      </c>
      <c r="F53" s="334">
        <v>1</v>
      </c>
      <c r="G53" s="334">
        <v>1</v>
      </c>
      <c r="H53" s="334">
        <v>1</v>
      </c>
      <c r="I53" s="334">
        <v>1</v>
      </c>
      <c r="J53" s="334">
        <v>1</v>
      </c>
      <c r="K53" s="334">
        <v>1</v>
      </c>
      <c r="L53" s="334">
        <v>1</v>
      </c>
      <c r="M53" s="334">
        <v>1</v>
      </c>
      <c r="N53" s="68"/>
      <c r="O53" s="466"/>
      <c r="P53" s="467"/>
      <c r="Q53" s="467"/>
      <c r="R53" s="467"/>
      <c r="S53" s="467"/>
      <c r="T53" s="467"/>
      <c r="U53" s="467"/>
      <c r="V53" s="467"/>
      <c r="W53" s="467"/>
      <c r="X53" s="467"/>
      <c r="Y53" s="467"/>
      <c r="Z53" s="468"/>
    </row>
    <row r="54" spans="1:26" x14ac:dyDescent="0.2">
      <c r="A54" s="22" t="str">
        <f>INDATA!A64</f>
        <v>HVC Gas</v>
      </c>
      <c r="B54" s="333">
        <v>0.9</v>
      </c>
      <c r="C54" s="333">
        <v>0.9</v>
      </c>
      <c r="D54" s="333">
        <v>0.9</v>
      </c>
      <c r="E54" s="333">
        <v>0.9</v>
      </c>
      <c r="F54" s="333">
        <v>0.9</v>
      </c>
      <c r="G54" s="333">
        <v>0.9</v>
      </c>
      <c r="H54" s="333">
        <v>0.9</v>
      </c>
      <c r="I54" s="333">
        <v>0.9</v>
      </c>
      <c r="J54" s="333">
        <v>0.9</v>
      </c>
      <c r="K54" s="333">
        <v>0.9</v>
      </c>
      <c r="L54" s="333">
        <v>0.9</v>
      </c>
      <c r="M54" s="333">
        <v>0.9</v>
      </c>
      <c r="N54" s="470"/>
      <c r="O54" s="333">
        <v>0.9</v>
      </c>
      <c r="P54" s="333">
        <v>0.9</v>
      </c>
      <c r="Q54" s="333">
        <v>0.9</v>
      </c>
      <c r="R54" s="333">
        <v>0.9</v>
      </c>
      <c r="S54" s="333">
        <v>0.9</v>
      </c>
      <c r="T54" s="333">
        <v>0.9</v>
      </c>
      <c r="U54" s="333">
        <v>0.9</v>
      </c>
      <c r="V54" s="333">
        <v>0.9</v>
      </c>
      <c r="W54" s="333">
        <v>0.9</v>
      </c>
      <c r="X54" s="333">
        <v>0.9</v>
      </c>
      <c r="Y54" s="333">
        <v>0.9</v>
      </c>
      <c r="Z54" s="333">
        <v>0.9</v>
      </c>
    </row>
    <row r="55" spans="1:26" x14ac:dyDescent="0.2">
      <c r="A55" s="22" t="str">
        <f>INDATA!A65</f>
        <v>KVV Gas</v>
      </c>
      <c r="B55" s="333">
        <v>1.1000000000000001</v>
      </c>
      <c r="C55" s="333">
        <v>1.1000000000000001</v>
      </c>
      <c r="D55" s="333">
        <v>1.1000000000000001</v>
      </c>
      <c r="E55" s="333">
        <v>1.1000000000000001</v>
      </c>
      <c r="F55" s="333">
        <v>1.1000000000000001</v>
      </c>
      <c r="G55" s="333">
        <v>1.1000000000000001</v>
      </c>
      <c r="H55" s="333">
        <v>1.1000000000000001</v>
      </c>
      <c r="I55" s="333">
        <v>1.1000000000000001</v>
      </c>
      <c r="J55" s="333">
        <v>1.1000000000000001</v>
      </c>
      <c r="K55" s="333">
        <v>1.1000000000000001</v>
      </c>
      <c r="L55" s="333">
        <v>1.1000000000000001</v>
      </c>
      <c r="M55" s="333">
        <v>1.1000000000000001</v>
      </c>
      <c r="N55" s="55"/>
      <c r="O55" s="333">
        <v>1.1000000000000001</v>
      </c>
      <c r="P55" s="333">
        <v>1.1000000000000001</v>
      </c>
      <c r="Q55" s="333">
        <v>1.1000000000000001</v>
      </c>
      <c r="R55" s="333">
        <v>1.1000000000000001</v>
      </c>
      <c r="S55" s="333">
        <v>1.1000000000000001</v>
      </c>
      <c r="T55" s="333">
        <v>1.1000000000000001</v>
      </c>
      <c r="U55" s="333">
        <v>1.1000000000000001</v>
      </c>
      <c r="V55" s="333">
        <v>1.1000000000000001</v>
      </c>
      <c r="W55" s="333">
        <v>1.1000000000000001</v>
      </c>
      <c r="X55" s="333">
        <v>1.1000000000000001</v>
      </c>
      <c r="Y55" s="333">
        <v>1.1000000000000001</v>
      </c>
      <c r="Z55" s="333">
        <v>1.1000000000000001</v>
      </c>
    </row>
    <row r="56" spans="1:26" x14ac:dyDescent="0.2">
      <c r="A56" s="22" t="str">
        <f>INDATA!A66</f>
        <v>Valfri 3</v>
      </c>
      <c r="B56" s="333">
        <v>1</v>
      </c>
      <c r="C56" s="333">
        <v>1</v>
      </c>
      <c r="D56" s="333">
        <v>1</v>
      </c>
      <c r="E56" s="333">
        <v>1</v>
      </c>
      <c r="F56" s="333">
        <v>1</v>
      </c>
      <c r="G56" s="333">
        <v>1</v>
      </c>
      <c r="H56" s="333">
        <v>1</v>
      </c>
      <c r="I56" s="333">
        <v>1</v>
      </c>
      <c r="J56" s="333">
        <v>1</v>
      </c>
      <c r="K56" s="333">
        <v>1</v>
      </c>
      <c r="L56" s="333">
        <v>1</v>
      </c>
      <c r="M56" s="333">
        <v>1</v>
      </c>
      <c r="N56" s="199"/>
      <c r="O56" s="333">
        <v>1</v>
      </c>
      <c r="P56" s="333">
        <v>1</v>
      </c>
      <c r="Q56" s="333">
        <v>1</v>
      </c>
      <c r="R56" s="333">
        <v>1</v>
      </c>
      <c r="S56" s="333">
        <v>1</v>
      </c>
      <c r="T56" s="333">
        <v>1</v>
      </c>
      <c r="U56" s="333">
        <v>1</v>
      </c>
      <c r="V56" s="333">
        <v>1</v>
      </c>
      <c r="W56" s="333">
        <v>1</v>
      </c>
      <c r="X56" s="333">
        <v>1</v>
      </c>
      <c r="Y56" s="333">
        <v>1</v>
      </c>
      <c r="Z56" s="333">
        <v>1</v>
      </c>
    </row>
    <row r="57" spans="1:26" x14ac:dyDescent="0.2">
      <c r="A57" s="75" t="s">
        <v>314</v>
      </c>
      <c r="B57" s="471"/>
      <c r="C57" s="471"/>
      <c r="D57" s="471"/>
      <c r="E57" s="471"/>
      <c r="F57" s="471"/>
      <c r="G57" s="471"/>
      <c r="H57" s="471"/>
      <c r="I57" s="471"/>
      <c r="J57" s="471"/>
      <c r="K57" s="471"/>
      <c r="L57" s="471"/>
      <c r="M57" s="472"/>
      <c r="N57" s="68"/>
      <c r="O57" s="68"/>
      <c r="P57" s="68"/>
      <c r="Q57" s="68"/>
    </row>
    <row r="58" spans="1:26" x14ac:dyDescent="0.2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2"/>
      <c r="N58" s="68"/>
      <c r="O58" s="68"/>
      <c r="P58" s="68"/>
      <c r="Q58" s="68"/>
    </row>
    <row r="59" spans="1:26" x14ac:dyDescent="0.2">
      <c r="A59" s="75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4"/>
      <c r="N59" s="68"/>
      <c r="O59" s="68"/>
      <c r="P59" s="68"/>
      <c r="Q59" s="68"/>
    </row>
    <row r="60" spans="1:26" x14ac:dyDescent="0.2">
      <c r="A60" s="46" t="s">
        <v>55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2"/>
      <c r="N60" s="68"/>
      <c r="O60" s="67" t="s">
        <v>342</v>
      </c>
      <c r="P60" s="68"/>
      <c r="Q60" s="68"/>
    </row>
    <row r="61" spans="1:26" x14ac:dyDescent="0.2">
      <c r="A61" s="53" t="s">
        <v>19</v>
      </c>
      <c r="B61" s="286" t="s">
        <v>20</v>
      </c>
      <c r="C61" s="286" t="s">
        <v>21</v>
      </c>
      <c r="D61" s="286" t="s">
        <v>22</v>
      </c>
      <c r="E61" s="286" t="s">
        <v>23</v>
      </c>
      <c r="F61" s="286" t="s">
        <v>24</v>
      </c>
      <c r="G61" s="286" t="s">
        <v>25</v>
      </c>
      <c r="H61" s="286" t="s">
        <v>26</v>
      </c>
      <c r="I61" s="286" t="s">
        <v>27</v>
      </c>
      <c r="J61" s="286" t="s">
        <v>28</v>
      </c>
      <c r="K61" s="286" t="s">
        <v>29</v>
      </c>
      <c r="L61" s="286" t="s">
        <v>30</v>
      </c>
      <c r="M61" s="286" t="s">
        <v>31</v>
      </c>
      <c r="N61" s="68"/>
      <c r="O61" s="286" t="s">
        <v>20</v>
      </c>
      <c r="P61" s="286" t="s">
        <v>21</v>
      </c>
      <c r="Q61" s="286" t="s">
        <v>22</v>
      </c>
      <c r="R61" s="286" t="s">
        <v>23</v>
      </c>
      <c r="S61" s="286" t="s">
        <v>24</v>
      </c>
      <c r="T61" s="286" t="s">
        <v>25</v>
      </c>
      <c r="U61" s="286" t="s">
        <v>26</v>
      </c>
      <c r="V61" s="286" t="s">
        <v>27</v>
      </c>
      <c r="W61" s="286" t="s">
        <v>28</v>
      </c>
      <c r="X61" s="286" t="s">
        <v>29</v>
      </c>
      <c r="Y61" s="286" t="s">
        <v>30</v>
      </c>
      <c r="Z61" s="286" t="s">
        <v>31</v>
      </c>
    </row>
    <row r="62" spans="1:26" x14ac:dyDescent="0.2">
      <c r="A62" s="22" t="str">
        <f>INDATA!A57</f>
        <v>HVC EO1</v>
      </c>
      <c r="B62" s="474"/>
      <c r="C62" s="475"/>
      <c r="D62" s="475"/>
      <c r="E62" s="475"/>
      <c r="F62" s="475"/>
      <c r="G62" s="475"/>
      <c r="H62" s="475"/>
      <c r="I62" s="475"/>
      <c r="J62" s="475"/>
      <c r="K62" s="475"/>
      <c r="L62" s="475"/>
      <c r="M62" s="476"/>
      <c r="N62" s="68"/>
      <c r="O62" s="463"/>
      <c r="P62" s="464"/>
      <c r="Q62" s="464"/>
      <c r="R62" s="464"/>
      <c r="S62" s="464"/>
      <c r="T62" s="464"/>
      <c r="U62" s="464"/>
      <c r="V62" s="464"/>
      <c r="W62" s="464"/>
      <c r="X62" s="464"/>
      <c r="Y62" s="464"/>
      <c r="Z62" s="465"/>
    </row>
    <row r="63" spans="1:26" x14ac:dyDescent="0.2">
      <c r="A63" s="22" t="str">
        <f>INDATA!A58</f>
        <v>HVC bioolja</v>
      </c>
      <c r="B63" s="477"/>
      <c r="C63" s="478"/>
      <c r="D63" s="478"/>
      <c r="E63" s="478"/>
      <c r="F63" s="478"/>
      <c r="G63" s="478"/>
      <c r="H63" s="478"/>
      <c r="I63" s="478"/>
      <c r="J63" s="478"/>
      <c r="K63" s="478"/>
      <c r="L63" s="478"/>
      <c r="M63" s="479"/>
      <c r="N63" s="68"/>
      <c r="O63" s="466"/>
      <c r="P63" s="467"/>
      <c r="Q63" s="467"/>
      <c r="R63" s="467"/>
      <c r="S63" s="467"/>
      <c r="T63" s="467"/>
      <c r="U63" s="467"/>
      <c r="V63" s="467"/>
      <c r="W63" s="467"/>
      <c r="X63" s="467"/>
      <c r="Y63" s="467"/>
      <c r="Z63" s="468"/>
    </row>
    <row r="64" spans="1:26" x14ac:dyDescent="0.2">
      <c r="A64" s="22" t="str">
        <f>INDATA!A59</f>
        <v>HVC pellets</v>
      </c>
      <c r="B64" s="480"/>
      <c r="C64" s="481"/>
      <c r="D64" s="481"/>
      <c r="E64" s="481"/>
      <c r="F64" s="481"/>
      <c r="G64" s="481"/>
      <c r="H64" s="481"/>
      <c r="I64" s="481"/>
      <c r="J64" s="481"/>
      <c r="K64" s="481"/>
      <c r="L64" s="481"/>
      <c r="M64" s="482"/>
      <c r="N64" s="68"/>
      <c r="O64" s="466"/>
      <c r="P64" s="467"/>
      <c r="Q64" s="467"/>
      <c r="R64" s="467"/>
      <c r="S64" s="467"/>
      <c r="T64" s="467"/>
      <c r="U64" s="467"/>
      <c r="V64" s="467"/>
      <c r="W64" s="467"/>
      <c r="X64" s="467"/>
      <c r="Y64" s="467"/>
      <c r="Z64" s="468"/>
    </row>
    <row r="65" spans="1:27" x14ac:dyDescent="0.2">
      <c r="A65" s="22" t="str">
        <f>INDATA!A60</f>
        <v>KVV avfall</v>
      </c>
      <c r="B65" s="333">
        <v>0.4</v>
      </c>
      <c r="C65" s="333">
        <v>0.4</v>
      </c>
      <c r="D65" s="333">
        <v>0.4</v>
      </c>
      <c r="E65" s="333">
        <v>0.4</v>
      </c>
      <c r="F65" s="333">
        <v>0.4</v>
      </c>
      <c r="G65" s="333">
        <v>0.4</v>
      </c>
      <c r="H65" s="333">
        <v>0.4</v>
      </c>
      <c r="I65" s="333">
        <v>0.4</v>
      </c>
      <c r="J65" s="333">
        <v>0.4</v>
      </c>
      <c r="K65" s="333">
        <v>0.4</v>
      </c>
      <c r="L65" s="333">
        <v>0.4</v>
      </c>
      <c r="M65" s="333">
        <v>0.4</v>
      </c>
      <c r="N65" s="68"/>
      <c r="O65" s="333">
        <v>0.4</v>
      </c>
      <c r="P65" s="333">
        <v>0.4</v>
      </c>
      <c r="Q65" s="333">
        <v>0.4</v>
      </c>
      <c r="R65" s="333">
        <v>0.4</v>
      </c>
      <c r="S65" s="333">
        <v>0.4</v>
      </c>
      <c r="T65" s="333">
        <v>0.4</v>
      </c>
      <c r="U65" s="333">
        <v>0.4</v>
      </c>
      <c r="V65" s="333">
        <v>0.4</v>
      </c>
      <c r="W65" s="333">
        <v>0.4</v>
      </c>
      <c r="X65" s="333">
        <v>0.4</v>
      </c>
      <c r="Y65" s="333">
        <v>0.4</v>
      </c>
      <c r="Z65" s="333">
        <v>0.4</v>
      </c>
      <c r="AA65" s="296" t="s">
        <v>413</v>
      </c>
    </row>
    <row r="66" spans="1:27" x14ac:dyDescent="0.2">
      <c r="A66" s="22" t="str">
        <f>INDATA!A61</f>
        <v>KVV grot</v>
      </c>
      <c r="B66" s="333">
        <v>0.4</v>
      </c>
      <c r="C66" s="333">
        <v>0.4</v>
      </c>
      <c r="D66" s="333">
        <v>0.4</v>
      </c>
      <c r="E66" s="333">
        <v>0.4</v>
      </c>
      <c r="F66" s="333">
        <v>0.4</v>
      </c>
      <c r="G66" s="333">
        <v>0.4</v>
      </c>
      <c r="H66" s="333">
        <v>0.4</v>
      </c>
      <c r="I66" s="333">
        <v>0.4</v>
      </c>
      <c r="J66" s="333">
        <v>0.4</v>
      </c>
      <c r="K66" s="333">
        <v>0.4</v>
      </c>
      <c r="L66" s="333">
        <v>0.4</v>
      </c>
      <c r="M66" s="333">
        <v>0.4</v>
      </c>
      <c r="N66" s="68"/>
      <c r="O66" s="333">
        <v>0.4</v>
      </c>
      <c r="P66" s="333">
        <v>0.4</v>
      </c>
      <c r="Q66" s="333">
        <v>0.4</v>
      </c>
      <c r="R66" s="333">
        <v>0.4</v>
      </c>
      <c r="S66" s="333">
        <v>0.4</v>
      </c>
      <c r="T66" s="333">
        <v>0.4</v>
      </c>
      <c r="U66" s="333">
        <v>0.4</v>
      </c>
      <c r="V66" s="333">
        <v>0.4</v>
      </c>
      <c r="W66" s="333">
        <v>0.4</v>
      </c>
      <c r="X66" s="333">
        <v>0.4</v>
      </c>
      <c r="Y66" s="333">
        <v>0.4</v>
      </c>
      <c r="Z66" s="333">
        <v>0.4</v>
      </c>
      <c r="AA66" s="296" t="s">
        <v>413</v>
      </c>
    </row>
    <row r="67" spans="1:27" x14ac:dyDescent="0.2">
      <c r="A67" s="22" t="str">
        <f>INDATA!A62</f>
        <v>Värmepump COP3</v>
      </c>
      <c r="B67" s="474"/>
      <c r="C67" s="475"/>
      <c r="D67" s="475"/>
      <c r="E67" s="475"/>
      <c r="F67" s="475"/>
      <c r="G67" s="475"/>
      <c r="H67" s="475"/>
      <c r="I67" s="475"/>
      <c r="J67" s="475"/>
      <c r="K67" s="475"/>
      <c r="L67" s="475"/>
      <c r="M67" s="476"/>
      <c r="N67" s="68"/>
      <c r="O67" s="466"/>
      <c r="P67" s="467"/>
      <c r="Q67" s="467"/>
      <c r="R67" s="467"/>
      <c r="S67" s="467"/>
      <c r="T67" s="467"/>
      <c r="U67" s="467"/>
      <c r="V67" s="467"/>
      <c r="W67" s="467"/>
      <c r="X67" s="467"/>
      <c r="Y67" s="467"/>
      <c r="Z67" s="468"/>
    </row>
    <row r="68" spans="1:27" x14ac:dyDescent="0.2">
      <c r="A68" s="22" t="str">
        <f>INDATA!A63</f>
        <v>Spillvärme industri</v>
      </c>
      <c r="B68" s="480"/>
      <c r="C68" s="481"/>
      <c r="D68" s="481"/>
      <c r="E68" s="481"/>
      <c r="F68" s="481"/>
      <c r="G68" s="481"/>
      <c r="H68" s="481"/>
      <c r="I68" s="481"/>
      <c r="J68" s="481"/>
      <c r="K68" s="481"/>
      <c r="L68" s="481"/>
      <c r="M68" s="482"/>
      <c r="N68" s="68"/>
      <c r="O68" s="466"/>
      <c r="P68" s="467"/>
      <c r="Q68" s="467"/>
      <c r="R68" s="467"/>
      <c r="S68" s="467"/>
      <c r="T68" s="467"/>
      <c r="U68" s="467"/>
      <c r="V68" s="467"/>
      <c r="W68" s="467"/>
      <c r="X68" s="467"/>
      <c r="Y68" s="467"/>
      <c r="Z68" s="468"/>
    </row>
    <row r="69" spans="1:27" x14ac:dyDescent="0.2">
      <c r="A69" s="22" t="str">
        <f>INDATA!A64</f>
        <v>HVC Gas</v>
      </c>
      <c r="B69" s="333">
        <v>0</v>
      </c>
      <c r="C69" s="333">
        <v>0</v>
      </c>
      <c r="D69" s="333">
        <v>0</v>
      </c>
      <c r="E69" s="333">
        <v>0</v>
      </c>
      <c r="F69" s="333">
        <v>0</v>
      </c>
      <c r="G69" s="333">
        <v>0</v>
      </c>
      <c r="H69" s="333">
        <v>0</v>
      </c>
      <c r="I69" s="333">
        <v>0</v>
      </c>
      <c r="J69" s="333">
        <v>0</v>
      </c>
      <c r="K69" s="333">
        <v>0</v>
      </c>
      <c r="L69" s="333">
        <v>0</v>
      </c>
      <c r="M69" s="333">
        <v>0</v>
      </c>
      <c r="N69" s="68"/>
      <c r="O69" s="333">
        <v>1E-4</v>
      </c>
      <c r="P69" s="333">
        <v>1E-4</v>
      </c>
      <c r="Q69" s="333">
        <v>1E-4</v>
      </c>
      <c r="R69" s="333">
        <v>1E-4</v>
      </c>
      <c r="S69" s="333">
        <v>1E-4</v>
      </c>
      <c r="T69" s="333">
        <v>1E-4</v>
      </c>
      <c r="U69" s="333">
        <v>1E-4</v>
      </c>
      <c r="V69" s="333">
        <v>1E-4</v>
      </c>
      <c r="W69" s="333">
        <v>1E-4</v>
      </c>
      <c r="X69" s="333">
        <v>1E-4</v>
      </c>
      <c r="Y69" s="333">
        <v>1E-4</v>
      </c>
      <c r="Z69" s="333">
        <v>1E-4</v>
      </c>
      <c r="AA69" s="296" t="s">
        <v>413</v>
      </c>
    </row>
    <row r="70" spans="1:27" x14ac:dyDescent="0.2">
      <c r="A70" s="22" t="str">
        <f>INDATA!A65</f>
        <v>KVV Gas</v>
      </c>
      <c r="B70" s="333">
        <v>0.4</v>
      </c>
      <c r="C70" s="333">
        <v>0.4</v>
      </c>
      <c r="D70" s="333">
        <v>0.4</v>
      </c>
      <c r="E70" s="333">
        <v>0.4</v>
      </c>
      <c r="F70" s="333">
        <v>0.4</v>
      </c>
      <c r="G70" s="333">
        <v>0.4</v>
      </c>
      <c r="H70" s="333">
        <v>0.4</v>
      </c>
      <c r="I70" s="333">
        <v>0.4</v>
      </c>
      <c r="J70" s="333">
        <v>0.4</v>
      </c>
      <c r="K70" s="333">
        <v>0.4</v>
      </c>
      <c r="L70" s="333">
        <v>0.4</v>
      </c>
      <c r="M70" s="333">
        <v>0.4</v>
      </c>
      <c r="N70" s="68"/>
      <c r="O70" s="333">
        <v>0.45</v>
      </c>
      <c r="P70" s="333">
        <v>0.45</v>
      </c>
      <c r="Q70" s="333">
        <v>0.45</v>
      </c>
      <c r="R70" s="333">
        <v>0.45</v>
      </c>
      <c r="S70" s="333">
        <v>0.45</v>
      </c>
      <c r="T70" s="333">
        <v>0.45</v>
      </c>
      <c r="U70" s="333">
        <v>0.45</v>
      </c>
      <c r="V70" s="333">
        <v>0.45</v>
      </c>
      <c r="W70" s="333">
        <v>0.45</v>
      </c>
      <c r="X70" s="333">
        <v>0.45</v>
      </c>
      <c r="Y70" s="333">
        <v>0.45</v>
      </c>
      <c r="Z70" s="333">
        <v>0.45</v>
      </c>
      <c r="AA70" s="296" t="s">
        <v>414</v>
      </c>
    </row>
    <row r="71" spans="1:27" x14ac:dyDescent="0.2">
      <c r="A71" s="22" t="str">
        <f>INDATA!A66</f>
        <v>Valfri 3</v>
      </c>
      <c r="B71" s="334">
        <v>0</v>
      </c>
      <c r="C71" s="334">
        <v>0</v>
      </c>
      <c r="D71" s="334">
        <v>0</v>
      </c>
      <c r="E71" s="334">
        <v>0</v>
      </c>
      <c r="F71" s="334">
        <v>0</v>
      </c>
      <c r="G71" s="334">
        <v>0</v>
      </c>
      <c r="H71" s="334">
        <v>0</v>
      </c>
      <c r="I71" s="334">
        <v>0</v>
      </c>
      <c r="J71" s="334">
        <v>0</v>
      </c>
      <c r="K71" s="334">
        <v>0</v>
      </c>
      <c r="L71" s="334">
        <v>0</v>
      </c>
      <c r="M71" s="334">
        <v>0</v>
      </c>
      <c r="N71" s="68"/>
      <c r="O71" s="473">
        <v>1E-4</v>
      </c>
      <c r="P71" s="473">
        <v>1E-4</v>
      </c>
      <c r="Q71" s="473">
        <v>1E-4</v>
      </c>
      <c r="R71" s="473">
        <v>1E-4</v>
      </c>
      <c r="S71" s="473">
        <v>1E-4</v>
      </c>
      <c r="T71" s="473">
        <v>1E-4</v>
      </c>
      <c r="U71" s="473">
        <v>1E-4</v>
      </c>
      <c r="V71" s="473">
        <v>1E-4</v>
      </c>
      <c r="W71" s="473">
        <v>1E-4</v>
      </c>
      <c r="X71" s="473">
        <v>1E-4</v>
      </c>
      <c r="Y71" s="473">
        <v>1E-4</v>
      </c>
      <c r="Z71" s="473">
        <v>1E-4</v>
      </c>
      <c r="AA71" t="s">
        <v>343</v>
      </c>
    </row>
    <row r="72" spans="1:27" x14ac:dyDescent="0.2">
      <c r="A72" s="77" t="s">
        <v>52</v>
      </c>
      <c r="B72" s="330"/>
      <c r="C72" s="330"/>
      <c r="D72" s="330"/>
      <c r="E72" s="330"/>
      <c r="F72" s="330"/>
      <c r="G72" s="330"/>
      <c r="H72" s="330"/>
      <c r="I72" s="330"/>
      <c r="J72" s="330"/>
      <c r="K72" s="330"/>
      <c r="L72" s="330"/>
      <c r="M72" s="331"/>
      <c r="N72" s="68"/>
      <c r="O72" s="68"/>
      <c r="P72" s="68"/>
      <c r="Q72" s="68"/>
    </row>
    <row r="73" spans="1:27" x14ac:dyDescent="0.2">
      <c r="A73" s="76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2"/>
      <c r="N73" s="68"/>
      <c r="O73" s="68"/>
      <c r="P73" s="68"/>
      <c r="Q73" s="68"/>
    </row>
    <row r="74" spans="1:27" x14ac:dyDescent="0.2">
      <c r="A74" s="77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40"/>
      <c r="N74" s="68"/>
      <c r="O74" s="68"/>
      <c r="P74" s="68"/>
      <c r="Q74" s="68"/>
    </row>
    <row r="75" spans="1:27" s="5" customFormat="1" x14ac:dyDescent="0.2">
      <c r="A75" s="75" t="s">
        <v>309</v>
      </c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173"/>
      <c r="N75" s="67"/>
      <c r="O75" s="68"/>
      <c r="P75" s="68"/>
      <c r="Q75" s="67"/>
    </row>
    <row r="76" spans="1:27" s="5" customFormat="1" x14ac:dyDescent="0.2">
      <c r="A76" s="338" t="s">
        <v>19</v>
      </c>
      <c r="B76" s="339" t="s">
        <v>305</v>
      </c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4"/>
      <c r="N76" s="68"/>
      <c r="O76" s="68"/>
      <c r="P76" s="68"/>
      <c r="Q76" s="67"/>
    </row>
    <row r="77" spans="1:27" s="5" customFormat="1" x14ac:dyDescent="0.2">
      <c r="A77" s="70" t="str">
        <f>INDATA!A57</f>
        <v>HVC EO1</v>
      </c>
      <c r="B77" s="307">
        <v>800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4"/>
      <c r="N77" s="68"/>
      <c r="O77" s="68"/>
      <c r="P77" s="68"/>
      <c r="Q77" s="67"/>
    </row>
    <row r="78" spans="1:27" s="5" customFormat="1" x14ac:dyDescent="0.2">
      <c r="A78" s="70" t="str">
        <f>INDATA!A58</f>
        <v>HVC bioolja</v>
      </c>
      <c r="B78" s="307">
        <v>400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4"/>
      <c r="N78" s="68"/>
      <c r="O78" s="68"/>
      <c r="P78" s="68"/>
      <c r="Q78" s="67"/>
    </row>
    <row r="79" spans="1:27" s="5" customFormat="1" x14ac:dyDescent="0.2">
      <c r="A79" s="70" t="str">
        <f>INDATA!A59</f>
        <v>HVC pellets</v>
      </c>
      <c r="B79" s="307">
        <v>300</v>
      </c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4"/>
      <c r="N79" s="68"/>
      <c r="O79" s="68"/>
      <c r="P79" s="68"/>
      <c r="Q79" s="67"/>
    </row>
    <row r="80" spans="1:27" s="5" customFormat="1" x14ac:dyDescent="0.2">
      <c r="A80" s="70" t="str">
        <f>INDATA!A60</f>
        <v>KVV avfall</v>
      </c>
      <c r="B80" s="307">
        <v>50</v>
      </c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4"/>
      <c r="N80" s="68"/>
      <c r="O80" s="67"/>
      <c r="P80" s="67"/>
      <c r="Q80" s="67"/>
    </row>
    <row r="81" spans="1:17" s="5" customFormat="1" x14ac:dyDescent="0.2">
      <c r="A81" s="70" t="str">
        <f>INDATA!A61</f>
        <v>KVV grot</v>
      </c>
      <c r="B81" s="307">
        <v>180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4"/>
      <c r="N81" s="68"/>
      <c r="O81" s="67"/>
      <c r="P81" s="67"/>
      <c r="Q81" s="67"/>
    </row>
    <row r="82" spans="1:17" s="5" customFormat="1" x14ac:dyDescent="0.2">
      <c r="A82" s="70" t="str">
        <f>INDATA!A62</f>
        <v>Värmepump COP3</v>
      </c>
      <c r="B82" s="307">
        <v>150</v>
      </c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4"/>
      <c r="N82" s="68"/>
      <c r="O82" s="67"/>
      <c r="P82" s="67"/>
      <c r="Q82" s="67"/>
    </row>
    <row r="83" spans="1:17" s="5" customFormat="1" x14ac:dyDescent="0.2">
      <c r="A83" s="70" t="str">
        <f>INDATA!A63</f>
        <v>Spillvärme industri</v>
      </c>
      <c r="B83" s="307">
        <v>50</v>
      </c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4"/>
      <c r="N83" s="68"/>
      <c r="O83" s="67"/>
      <c r="P83" s="67"/>
      <c r="Q83" s="67"/>
    </row>
    <row r="84" spans="1:17" s="5" customFormat="1" x14ac:dyDescent="0.2">
      <c r="A84" s="70" t="str">
        <f>INDATA!A64</f>
        <v>HVC Gas</v>
      </c>
      <c r="B84" s="307">
        <v>300</v>
      </c>
      <c r="C84" s="71"/>
      <c r="D84" s="340"/>
      <c r="E84" s="340"/>
      <c r="F84" s="71"/>
      <c r="G84" s="71"/>
      <c r="H84" s="71"/>
      <c r="I84" s="71"/>
      <c r="J84" s="71"/>
      <c r="K84" s="71"/>
      <c r="L84" s="71"/>
      <c r="M84" s="74"/>
      <c r="N84" s="68"/>
      <c r="O84" s="67"/>
      <c r="P84" s="67"/>
      <c r="Q84" s="67"/>
    </row>
    <row r="85" spans="1:17" s="5" customFormat="1" x14ac:dyDescent="0.2">
      <c r="A85" s="70" t="str">
        <f>INDATA!A65</f>
        <v>KVV Gas</v>
      </c>
      <c r="B85" s="307">
        <v>200</v>
      </c>
      <c r="C85" s="71"/>
      <c r="D85" s="340"/>
      <c r="E85" s="340"/>
      <c r="F85" s="71"/>
      <c r="G85" s="71"/>
      <c r="H85" s="71"/>
      <c r="I85" s="71"/>
      <c r="J85" s="71"/>
      <c r="K85" s="71"/>
      <c r="L85" s="71"/>
      <c r="M85" s="74"/>
      <c r="N85" s="68"/>
      <c r="O85" s="67"/>
      <c r="P85" s="67"/>
      <c r="Q85" s="67"/>
    </row>
    <row r="86" spans="1:17" s="5" customFormat="1" x14ac:dyDescent="0.2">
      <c r="A86" s="70" t="str">
        <f>INDATA!A66</f>
        <v>Valfri 3</v>
      </c>
      <c r="B86" s="307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4"/>
      <c r="N86" s="68"/>
      <c r="O86" s="67"/>
      <c r="P86" s="67"/>
      <c r="Q86" s="67"/>
    </row>
    <row r="87" spans="1:17" s="5" customFormat="1" x14ac:dyDescent="0.2">
      <c r="A87" s="77"/>
      <c r="B87" s="330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4"/>
      <c r="N87" s="68"/>
      <c r="O87" s="67"/>
      <c r="P87" s="67"/>
      <c r="Q87" s="67"/>
    </row>
    <row r="88" spans="1:17" x14ac:dyDescent="0.2">
      <c r="A88" s="78" t="s">
        <v>61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4"/>
      <c r="N88" s="68"/>
      <c r="O88" s="68"/>
      <c r="P88" s="68"/>
      <c r="Q88" s="68"/>
    </row>
    <row r="89" spans="1:17" x14ac:dyDescent="0.2">
      <c r="A89" s="75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4"/>
      <c r="N89" s="68"/>
      <c r="O89" s="68"/>
      <c r="P89" s="68"/>
      <c r="Q89" s="68"/>
    </row>
    <row r="90" spans="1:17" x14ac:dyDescent="0.2">
      <c r="A90" s="78" t="s">
        <v>59</v>
      </c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4"/>
      <c r="N90" s="68"/>
      <c r="O90" s="68"/>
      <c r="P90" s="68"/>
      <c r="Q90" s="68"/>
    </row>
    <row r="91" spans="1:17" x14ac:dyDescent="0.2">
      <c r="A91" s="46" t="s">
        <v>57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2"/>
      <c r="N91" s="68"/>
      <c r="O91" s="304" t="s">
        <v>337</v>
      </c>
      <c r="P91" s="68"/>
      <c r="Q91" s="68"/>
    </row>
    <row r="92" spans="1:17" x14ac:dyDescent="0.2">
      <c r="A92" s="53" t="s">
        <v>322</v>
      </c>
      <c r="B92" s="286" t="s">
        <v>20</v>
      </c>
      <c r="C92" s="286" t="s">
        <v>21</v>
      </c>
      <c r="D92" s="286" t="s">
        <v>22</v>
      </c>
      <c r="E92" s="286" t="s">
        <v>23</v>
      </c>
      <c r="F92" s="286" t="s">
        <v>24</v>
      </c>
      <c r="G92" s="286" t="s">
        <v>25</v>
      </c>
      <c r="H92" s="286" t="s">
        <v>26</v>
      </c>
      <c r="I92" s="286" t="s">
        <v>27</v>
      </c>
      <c r="J92" s="286" t="s">
        <v>28</v>
      </c>
      <c r="K92" s="286" t="s">
        <v>29</v>
      </c>
      <c r="L92" s="286" t="s">
        <v>30</v>
      </c>
      <c r="M92" s="286" t="s">
        <v>31</v>
      </c>
      <c r="N92" s="68"/>
      <c r="O92" s="304"/>
      <c r="P92" s="68"/>
      <c r="Q92" s="68"/>
    </row>
    <row r="93" spans="1:17" x14ac:dyDescent="0.2">
      <c r="A93" s="22" t="str">
        <f>INDATA!B70</f>
        <v>Nordisk medelelmix (2010-2015)</v>
      </c>
      <c r="B93" s="324">
        <v>130</v>
      </c>
      <c r="C93" s="324">
        <v>130</v>
      </c>
      <c r="D93" s="324">
        <v>130</v>
      </c>
      <c r="E93" s="324">
        <v>130</v>
      </c>
      <c r="F93" s="324">
        <v>130</v>
      </c>
      <c r="G93" s="324">
        <v>130</v>
      </c>
      <c r="H93" s="324">
        <v>130</v>
      </c>
      <c r="I93" s="324">
        <v>130</v>
      </c>
      <c r="J93" s="324">
        <v>130</v>
      </c>
      <c r="K93" s="324">
        <v>130</v>
      </c>
      <c r="L93" s="324">
        <v>130</v>
      </c>
      <c r="M93" s="324">
        <v>130</v>
      </c>
      <c r="N93" s="68"/>
      <c r="O93" s="304"/>
      <c r="P93" s="68"/>
      <c r="Q93" s="68"/>
    </row>
    <row r="94" spans="1:17" x14ac:dyDescent="0.2">
      <c r="A94" s="22" t="str">
        <f>INDATA!B71</f>
        <v>Bra miljöval (Sverige 2015)</v>
      </c>
      <c r="B94" s="324">
        <v>2</v>
      </c>
      <c r="C94" s="324">
        <v>2</v>
      </c>
      <c r="D94" s="324">
        <v>2</v>
      </c>
      <c r="E94" s="324">
        <v>2</v>
      </c>
      <c r="F94" s="324">
        <v>2</v>
      </c>
      <c r="G94" s="324">
        <v>2</v>
      </c>
      <c r="H94" s="324">
        <v>2</v>
      </c>
      <c r="I94" s="324">
        <v>2</v>
      </c>
      <c r="J94" s="324">
        <v>2</v>
      </c>
      <c r="K94" s="324">
        <v>2</v>
      </c>
      <c r="L94" s="324">
        <v>2</v>
      </c>
      <c r="M94" s="324">
        <v>2</v>
      </c>
      <c r="N94" s="68"/>
      <c r="O94" s="304" t="s">
        <v>406</v>
      </c>
      <c r="P94" s="68"/>
      <c r="Q94" s="68"/>
    </row>
    <row r="95" spans="1:17" x14ac:dyDescent="0.2">
      <c r="A95" s="22" t="str">
        <f>INDATA!B72</f>
        <v>Svensk medelelmix (2010-2015)</v>
      </c>
      <c r="B95" s="324">
        <v>10</v>
      </c>
      <c r="C95" s="324">
        <v>10</v>
      </c>
      <c r="D95" s="324">
        <v>10</v>
      </c>
      <c r="E95" s="324">
        <v>10</v>
      </c>
      <c r="F95" s="324">
        <v>10</v>
      </c>
      <c r="G95" s="324">
        <v>10</v>
      </c>
      <c r="H95" s="324">
        <v>10</v>
      </c>
      <c r="I95" s="324">
        <v>10</v>
      </c>
      <c r="J95" s="324">
        <v>10</v>
      </c>
      <c r="K95" s="324">
        <v>10</v>
      </c>
      <c r="L95" s="324">
        <v>10</v>
      </c>
      <c r="M95" s="324">
        <v>10</v>
      </c>
      <c r="N95" s="68"/>
      <c r="O95" s="304"/>
      <c r="P95" s="68"/>
      <c r="Q95" s="68"/>
    </row>
    <row r="96" spans="1:17" x14ac:dyDescent="0.2">
      <c r="A96" s="332" t="str">
        <f>INDATA!B73</f>
        <v>Marginalel</v>
      </c>
      <c r="B96" s="324">
        <v>884</v>
      </c>
      <c r="C96" s="324">
        <v>884</v>
      </c>
      <c r="D96" s="324">
        <v>884</v>
      </c>
      <c r="E96" s="324">
        <v>884</v>
      </c>
      <c r="F96" s="324">
        <v>884</v>
      </c>
      <c r="G96" s="324">
        <v>884</v>
      </c>
      <c r="H96" s="324">
        <v>884</v>
      </c>
      <c r="I96" s="324">
        <v>884</v>
      </c>
      <c r="J96" s="324">
        <v>884</v>
      </c>
      <c r="K96" s="324">
        <v>884</v>
      </c>
      <c r="L96" s="324">
        <v>884</v>
      </c>
      <c r="M96" s="324">
        <v>884</v>
      </c>
      <c r="N96" s="68"/>
      <c r="O96" s="296" t="s">
        <v>407</v>
      </c>
      <c r="P96" s="68"/>
      <c r="Q96" s="68"/>
    </row>
    <row r="97" spans="1:17" x14ac:dyDescent="0.2">
      <c r="A97" s="77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40"/>
      <c r="N97" s="68"/>
      <c r="O97" s="304"/>
      <c r="P97" s="68"/>
      <c r="Q97" s="68"/>
    </row>
    <row r="98" spans="1:17" x14ac:dyDescent="0.2">
      <c r="A98" s="46" t="s">
        <v>58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2"/>
      <c r="N98" s="68"/>
      <c r="O98" s="304"/>
      <c r="P98" s="68"/>
      <c r="Q98" s="68"/>
    </row>
    <row r="99" spans="1:17" x14ac:dyDescent="0.2">
      <c r="A99" s="53" t="s">
        <v>56</v>
      </c>
      <c r="B99" s="286" t="s">
        <v>20</v>
      </c>
      <c r="C99" s="286" t="s">
        <v>21</v>
      </c>
      <c r="D99" s="286" t="s">
        <v>22</v>
      </c>
      <c r="E99" s="286" t="s">
        <v>23</v>
      </c>
      <c r="F99" s="286" t="s">
        <v>24</v>
      </c>
      <c r="G99" s="286" t="s">
        <v>25</v>
      </c>
      <c r="H99" s="286" t="s">
        <v>26</v>
      </c>
      <c r="I99" s="286" t="s">
        <v>27</v>
      </c>
      <c r="J99" s="286" t="s">
        <v>28</v>
      </c>
      <c r="K99" s="286" t="s">
        <v>29</v>
      </c>
      <c r="L99" s="286" t="s">
        <v>30</v>
      </c>
      <c r="M99" s="286" t="s">
        <v>31</v>
      </c>
      <c r="N99" s="68"/>
      <c r="O99" s="304"/>
      <c r="P99" s="68"/>
      <c r="Q99" s="68"/>
    </row>
    <row r="100" spans="1:17" x14ac:dyDescent="0.2">
      <c r="A100" s="22" t="str">
        <f>A93</f>
        <v>Nordisk medelelmix (2010-2015)</v>
      </c>
      <c r="B100" s="324">
        <v>1.7</v>
      </c>
      <c r="C100" s="324">
        <v>1.7</v>
      </c>
      <c r="D100" s="324">
        <v>1.7</v>
      </c>
      <c r="E100" s="324">
        <v>1.7</v>
      </c>
      <c r="F100" s="324">
        <v>1.7</v>
      </c>
      <c r="G100" s="324">
        <v>1.7</v>
      </c>
      <c r="H100" s="324">
        <v>1.7</v>
      </c>
      <c r="I100" s="324">
        <v>1.7</v>
      </c>
      <c r="J100" s="324">
        <v>1.7</v>
      </c>
      <c r="K100" s="324">
        <v>1.7</v>
      </c>
      <c r="L100" s="324">
        <v>1.7</v>
      </c>
      <c r="M100" s="324">
        <v>1.7</v>
      </c>
      <c r="N100" s="68"/>
      <c r="O100" s="304"/>
      <c r="P100" s="68"/>
      <c r="Q100" s="68"/>
    </row>
    <row r="101" spans="1:17" x14ac:dyDescent="0.2">
      <c r="A101" s="22" t="str">
        <f t="shared" ref="A101:A103" si="3">A94</f>
        <v>Bra miljöval (Sverige 2015)</v>
      </c>
      <c r="B101" s="324">
        <v>0.8</v>
      </c>
      <c r="C101" s="324">
        <v>0.8</v>
      </c>
      <c r="D101" s="324">
        <v>0.8</v>
      </c>
      <c r="E101" s="324">
        <v>0.8</v>
      </c>
      <c r="F101" s="324">
        <v>0.8</v>
      </c>
      <c r="G101" s="324">
        <v>0.8</v>
      </c>
      <c r="H101" s="324">
        <v>0.8</v>
      </c>
      <c r="I101" s="324">
        <v>0.8</v>
      </c>
      <c r="J101" s="324">
        <v>0.8</v>
      </c>
      <c r="K101" s="324">
        <v>0.8</v>
      </c>
      <c r="L101" s="324">
        <v>0.8</v>
      </c>
      <c r="M101" s="324">
        <v>0.8</v>
      </c>
      <c r="N101" s="68"/>
      <c r="O101" s="304" t="s">
        <v>408</v>
      </c>
      <c r="P101" s="68"/>
      <c r="Q101" s="68"/>
    </row>
    <row r="102" spans="1:17" x14ac:dyDescent="0.2">
      <c r="A102" s="22" t="str">
        <f t="shared" si="3"/>
        <v>Svensk medelelmix (2010-2015)</v>
      </c>
      <c r="B102" s="324">
        <v>2.1</v>
      </c>
      <c r="C102" s="324">
        <v>2.1</v>
      </c>
      <c r="D102" s="324">
        <v>2.1</v>
      </c>
      <c r="E102" s="324">
        <v>2.1</v>
      </c>
      <c r="F102" s="324">
        <v>2.1</v>
      </c>
      <c r="G102" s="324">
        <v>2.1</v>
      </c>
      <c r="H102" s="324">
        <v>2.1</v>
      </c>
      <c r="I102" s="324">
        <v>2.1</v>
      </c>
      <c r="J102" s="324">
        <v>2.1</v>
      </c>
      <c r="K102" s="324">
        <v>2.1</v>
      </c>
      <c r="L102" s="324">
        <v>2.1</v>
      </c>
      <c r="M102" s="324">
        <v>2.1</v>
      </c>
      <c r="N102" s="68"/>
      <c r="O102" s="304"/>
      <c r="P102" s="68"/>
      <c r="Q102" s="68"/>
    </row>
    <row r="103" spans="1:17" x14ac:dyDescent="0.2">
      <c r="A103" s="22" t="str">
        <f t="shared" si="3"/>
        <v>Marginalel</v>
      </c>
      <c r="B103" s="651">
        <f>1.15/43.5%</f>
        <v>2.6436781609195399</v>
      </c>
      <c r="C103" s="651">
        <f t="shared" ref="C103:M103" si="4">1.15/43.5%</f>
        <v>2.6436781609195399</v>
      </c>
      <c r="D103" s="651">
        <f t="shared" si="4"/>
        <v>2.6436781609195399</v>
      </c>
      <c r="E103" s="651">
        <f t="shared" si="4"/>
        <v>2.6436781609195399</v>
      </c>
      <c r="F103" s="651">
        <f t="shared" si="4"/>
        <v>2.6436781609195399</v>
      </c>
      <c r="G103" s="651">
        <f t="shared" si="4"/>
        <v>2.6436781609195399</v>
      </c>
      <c r="H103" s="651">
        <f t="shared" si="4"/>
        <v>2.6436781609195399</v>
      </c>
      <c r="I103" s="651">
        <f t="shared" si="4"/>
        <v>2.6436781609195399</v>
      </c>
      <c r="J103" s="651">
        <f t="shared" si="4"/>
        <v>2.6436781609195399</v>
      </c>
      <c r="K103" s="651">
        <f t="shared" si="4"/>
        <v>2.6436781609195399</v>
      </c>
      <c r="L103" s="651">
        <f t="shared" si="4"/>
        <v>2.6436781609195399</v>
      </c>
      <c r="M103" s="651">
        <f t="shared" si="4"/>
        <v>2.6436781609195399</v>
      </c>
      <c r="N103" s="68"/>
      <c r="O103" s="304" t="s">
        <v>409</v>
      </c>
      <c r="P103" s="68"/>
      <c r="Q103" s="68"/>
    </row>
    <row r="104" spans="1:17" x14ac:dyDescent="0.2">
      <c r="A104" s="345"/>
      <c r="B104" s="346"/>
      <c r="C104" s="346"/>
      <c r="D104" s="346"/>
      <c r="E104" s="346"/>
      <c r="F104" s="346"/>
      <c r="G104" s="346"/>
      <c r="H104" s="346"/>
      <c r="I104" s="346"/>
      <c r="J104" s="346"/>
      <c r="K104" s="346"/>
      <c r="L104" s="346"/>
      <c r="M104" s="347"/>
      <c r="N104" s="68"/>
      <c r="O104" s="68"/>
      <c r="P104" s="68"/>
      <c r="Q104" s="68"/>
    </row>
    <row r="105" spans="1:17" s="68" customFormat="1" x14ac:dyDescent="0.2">
      <c r="A105" s="342" t="s">
        <v>79</v>
      </c>
      <c r="B105" s="343"/>
      <c r="C105" s="343"/>
      <c r="D105" s="343"/>
      <c r="E105" s="343"/>
      <c r="F105" s="343"/>
      <c r="G105" s="343"/>
      <c r="H105" s="343"/>
      <c r="I105" s="343"/>
      <c r="J105" s="343"/>
      <c r="K105" s="343"/>
      <c r="L105" s="343"/>
      <c r="M105" s="344"/>
    </row>
    <row r="106" spans="1:17" x14ac:dyDescent="0.2">
      <c r="A106" s="78" t="s">
        <v>120</v>
      </c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4"/>
      <c r="N106" s="68"/>
      <c r="O106" s="68"/>
      <c r="P106" s="68"/>
      <c r="Q106" s="68"/>
    </row>
    <row r="107" spans="1:17" x14ac:dyDescent="0.2">
      <c r="A107" s="75" t="s">
        <v>80</v>
      </c>
      <c r="B107" s="323">
        <v>5000</v>
      </c>
      <c r="C107" s="71" t="s">
        <v>84</v>
      </c>
      <c r="D107" s="71"/>
      <c r="E107" s="71"/>
      <c r="F107" s="71"/>
      <c r="G107" s="71"/>
      <c r="H107" s="71"/>
      <c r="I107" s="71"/>
      <c r="J107" s="71"/>
      <c r="K107" s="71"/>
      <c r="L107" s="71"/>
      <c r="M107" s="74"/>
      <c r="N107" s="68"/>
      <c r="O107" s="68"/>
      <c r="P107" s="68"/>
      <c r="Q107" s="68"/>
    </row>
    <row r="108" spans="1:17" x14ac:dyDescent="0.2">
      <c r="A108" s="75" t="s">
        <v>78</v>
      </c>
      <c r="B108" s="323">
        <v>200</v>
      </c>
      <c r="C108" s="71" t="s">
        <v>83</v>
      </c>
      <c r="D108" s="71"/>
      <c r="E108" s="71"/>
      <c r="F108" s="71"/>
      <c r="G108" s="71"/>
      <c r="H108" s="71"/>
      <c r="I108" s="71"/>
      <c r="J108" s="71"/>
      <c r="K108" s="71"/>
      <c r="L108" s="71"/>
      <c r="M108" s="74"/>
      <c r="N108" s="68"/>
      <c r="O108" s="68"/>
      <c r="P108" s="68"/>
      <c r="Q108" s="68"/>
    </row>
    <row r="109" spans="1:17" x14ac:dyDescent="0.2">
      <c r="A109" s="75" t="s">
        <v>81</v>
      </c>
      <c r="B109" s="323">
        <v>500</v>
      </c>
      <c r="C109" s="71" t="s">
        <v>82</v>
      </c>
      <c r="D109" s="71"/>
      <c r="E109" s="71"/>
      <c r="F109" s="71"/>
      <c r="G109" s="71"/>
      <c r="H109" s="71"/>
      <c r="I109" s="71"/>
      <c r="J109" s="71"/>
      <c r="K109" s="71"/>
      <c r="L109" s="71"/>
      <c r="M109" s="74"/>
      <c r="N109" s="68"/>
      <c r="O109" s="68"/>
      <c r="P109" s="68"/>
      <c r="Q109" s="68"/>
    </row>
    <row r="110" spans="1:17" x14ac:dyDescent="0.2">
      <c r="A110" s="75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4"/>
      <c r="N110" s="68"/>
      <c r="O110" s="68"/>
      <c r="P110" s="68"/>
      <c r="Q110" s="68"/>
    </row>
    <row r="111" spans="1:17" x14ac:dyDescent="0.2">
      <c r="A111" s="75" t="s">
        <v>117</v>
      </c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4"/>
      <c r="N111" s="68"/>
      <c r="O111" s="68"/>
      <c r="P111" s="68"/>
      <c r="Q111" s="68"/>
    </row>
    <row r="112" spans="1:17" x14ac:dyDescent="0.2">
      <c r="A112" s="75" t="s">
        <v>118</v>
      </c>
      <c r="B112" s="322"/>
      <c r="C112" s="71" t="s">
        <v>119</v>
      </c>
      <c r="D112" s="71"/>
      <c r="E112" s="71"/>
      <c r="F112" s="71"/>
      <c r="G112" s="71"/>
      <c r="H112" s="71"/>
      <c r="I112" s="71"/>
      <c r="J112" s="71"/>
      <c r="K112" s="71"/>
      <c r="L112" s="71"/>
      <c r="M112" s="74"/>
      <c r="N112" s="68"/>
      <c r="O112" s="68"/>
      <c r="P112" s="68"/>
      <c r="Q112" s="68"/>
    </row>
    <row r="113" spans="1:24" x14ac:dyDescent="0.2">
      <c r="A113" s="75" t="s">
        <v>182</v>
      </c>
      <c r="B113" s="322"/>
      <c r="C113" s="71" t="s">
        <v>311</v>
      </c>
      <c r="D113" s="71"/>
      <c r="E113" s="71"/>
      <c r="F113" s="71"/>
      <c r="G113" s="71"/>
      <c r="H113" s="71"/>
      <c r="I113" s="71"/>
      <c r="J113" s="71"/>
      <c r="K113" s="71"/>
      <c r="L113" s="71"/>
      <c r="M113" s="74"/>
      <c r="N113" s="68"/>
      <c r="O113" s="68"/>
      <c r="P113" s="68"/>
      <c r="Q113" s="68"/>
    </row>
    <row r="114" spans="1:24" x14ac:dyDescent="0.2">
      <c r="A114" s="75" t="s">
        <v>183</v>
      </c>
      <c r="B114" s="322"/>
      <c r="C114" s="71" t="s">
        <v>312</v>
      </c>
      <c r="D114" s="71"/>
      <c r="E114" s="71"/>
      <c r="F114" s="71"/>
      <c r="G114" s="71"/>
      <c r="H114" s="71"/>
      <c r="I114" s="71"/>
      <c r="J114" s="71"/>
      <c r="K114" s="71"/>
      <c r="L114" s="71"/>
      <c r="M114" s="74"/>
      <c r="N114" s="68"/>
      <c r="O114" s="68"/>
      <c r="P114" s="68"/>
      <c r="Q114" s="68"/>
    </row>
    <row r="115" spans="1:24" x14ac:dyDescent="0.2">
      <c r="A115" s="76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2"/>
      <c r="N115" s="68"/>
      <c r="O115" s="68"/>
      <c r="P115" s="68"/>
      <c r="Q115" s="68"/>
    </row>
    <row r="116" spans="1:24" s="68" customFormat="1" x14ac:dyDescent="0.2">
      <c r="A116" s="342" t="s">
        <v>158</v>
      </c>
      <c r="B116" s="343"/>
      <c r="C116" s="343"/>
      <c r="D116" s="343"/>
      <c r="E116" s="343"/>
      <c r="F116" s="343"/>
      <c r="G116" s="343"/>
      <c r="H116" s="343"/>
      <c r="I116" s="343"/>
      <c r="J116" s="343"/>
      <c r="K116" s="343"/>
      <c r="L116" s="343"/>
      <c r="M116" s="344"/>
    </row>
    <row r="117" spans="1:24" x14ac:dyDescent="0.2">
      <c r="A117" s="75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4"/>
      <c r="N117" s="68"/>
      <c r="O117" s="68"/>
      <c r="P117" s="68"/>
      <c r="Q117" s="68"/>
    </row>
    <row r="118" spans="1:24" x14ac:dyDescent="0.2">
      <c r="A118" s="338" t="s">
        <v>157</v>
      </c>
      <c r="B118" s="70" t="s">
        <v>20</v>
      </c>
      <c r="C118" s="70" t="s">
        <v>21</v>
      </c>
      <c r="D118" s="70" t="s">
        <v>22</v>
      </c>
      <c r="E118" s="70" t="s">
        <v>23</v>
      </c>
      <c r="F118" s="70" t="s">
        <v>24</v>
      </c>
      <c r="G118" s="69" t="s">
        <v>25</v>
      </c>
      <c r="H118" s="69" t="s">
        <v>26</v>
      </c>
      <c r="I118" s="69" t="s">
        <v>27</v>
      </c>
      <c r="J118" s="69" t="s">
        <v>28</v>
      </c>
      <c r="K118" s="69" t="s">
        <v>29</v>
      </c>
      <c r="L118" s="69" t="s">
        <v>30</v>
      </c>
      <c r="M118" s="69" t="s">
        <v>31</v>
      </c>
      <c r="N118" s="68"/>
      <c r="O118" s="68"/>
      <c r="P118" s="68"/>
      <c r="Q118" s="68"/>
    </row>
    <row r="119" spans="1:24" x14ac:dyDescent="0.2">
      <c r="A119" s="70" t="s">
        <v>184</v>
      </c>
      <c r="B119" s="324">
        <v>550</v>
      </c>
      <c r="C119" s="324">
        <v>550</v>
      </c>
      <c r="D119" s="324">
        <v>450</v>
      </c>
      <c r="E119" s="324">
        <v>450</v>
      </c>
      <c r="F119" s="324">
        <v>250</v>
      </c>
      <c r="G119" s="324">
        <v>250</v>
      </c>
      <c r="H119" s="324">
        <v>250</v>
      </c>
      <c r="I119" s="324">
        <v>250</v>
      </c>
      <c r="J119" s="324">
        <v>250</v>
      </c>
      <c r="K119" s="324">
        <v>450</v>
      </c>
      <c r="L119" s="324">
        <v>450</v>
      </c>
      <c r="M119" s="324">
        <v>550</v>
      </c>
      <c r="N119" s="68"/>
      <c r="O119" s="68"/>
      <c r="P119" s="68"/>
      <c r="Q119" s="68"/>
      <c r="R119" s="280"/>
      <c r="S119" s="280"/>
      <c r="T119" s="280"/>
      <c r="U119" s="280"/>
      <c r="V119" s="280"/>
      <c r="W119" s="280"/>
      <c r="X119" s="280"/>
    </row>
    <row r="120" spans="1:24" s="280" customFormat="1" x14ac:dyDescent="0.2">
      <c r="A120" s="75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4"/>
      <c r="N120" s="68"/>
      <c r="O120" s="68"/>
      <c r="P120" s="68"/>
      <c r="Q120" s="68"/>
    </row>
    <row r="121" spans="1:24" s="280" customFormat="1" x14ac:dyDescent="0.2">
      <c r="A121" s="338" t="s">
        <v>295</v>
      </c>
      <c r="B121" s="341" t="s">
        <v>95</v>
      </c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4"/>
      <c r="N121" s="68"/>
      <c r="O121" s="68"/>
      <c r="P121" s="68"/>
      <c r="Q121" s="68"/>
    </row>
    <row r="122" spans="1:24" x14ac:dyDescent="0.2">
      <c r="A122" s="70" t="s">
        <v>265</v>
      </c>
      <c r="B122" s="323">
        <v>750</v>
      </c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4"/>
      <c r="N122" s="68"/>
      <c r="O122" s="68"/>
      <c r="P122" s="68"/>
      <c r="Q122" s="68"/>
    </row>
    <row r="123" spans="1:24" x14ac:dyDescent="0.2">
      <c r="A123" s="70" t="s">
        <v>164</v>
      </c>
      <c r="B123" s="323">
        <v>50000</v>
      </c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4"/>
      <c r="N123" s="68"/>
      <c r="O123" s="68"/>
      <c r="P123" s="68"/>
      <c r="Q123" s="68"/>
    </row>
    <row r="124" spans="1:24" s="280" customFormat="1" x14ac:dyDescent="0.2">
      <c r="A124" s="70" t="s">
        <v>268</v>
      </c>
      <c r="B124" s="323">
        <v>2000</v>
      </c>
      <c r="C124" s="71"/>
      <c r="D124" s="71"/>
      <c r="E124" s="71"/>
      <c r="F124" s="71"/>
      <c r="G124" s="71"/>
      <c r="H124" s="71"/>
      <c r="I124" s="71"/>
      <c r="J124" s="71"/>
      <c r="K124" s="86"/>
      <c r="L124" s="86"/>
      <c r="M124" s="74"/>
      <c r="N124" s="68"/>
      <c r="O124" s="68"/>
      <c r="P124" s="68"/>
      <c r="Q124" s="68"/>
    </row>
    <row r="125" spans="1:24" x14ac:dyDescent="0.2">
      <c r="A125" s="76"/>
      <c r="B125" s="41"/>
      <c r="C125" s="41"/>
      <c r="D125" s="41"/>
      <c r="E125" s="41"/>
      <c r="F125" s="41"/>
      <c r="G125" s="41"/>
      <c r="H125" s="41"/>
      <c r="I125" s="41"/>
      <c r="J125" s="41"/>
      <c r="K125" s="84"/>
      <c r="L125" s="84"/>
      <c r="M125" s="42"/>
      <c r="N125" s="68"/>
      <c r="O125" s="68"/>
      <c r="P125" s="68"/>
      <c r="Q125" s="68"/>
    </row>
    <row r="126" spans="1:24" s="68" customFormat="1" x14ac:dyDescent="0.2">
      <c r="A126" s="342" t="s">
        <v>187</v>
      </c>
      <c r="B126" s="343"/>
      <c r="C126" s="343"/>
      <c r="D126" s="343"/>
      <c r="E126" s="343"/>
      <c r="F126" s="343"/>
      <c r="G126" s="343"/>
      <c r="H126" s="343"/>
      <c r="I126" s="343"/>
      <c r="J126" s="343"/>
      <c r="K126" s="343"/>
      <c r="L126" s="343"/>
      <c r="M126" s="344"/>
    </row>
    <row r="127" spans="1:24" s="304" customFormat="1" x14ac:dyDescent="0.2">
      <c r="A127" s="78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4"/>
    </row>
    <row r="128" spans="1:24" x14ac:dyDescent="0.2">
      <c r="A128" s="70" t="s">
        <v>198</v>
      </c>
      <c r="B128" s="324"/>
      <c r="C128" s="726" t="s">
        <v>269</v>
      </c>
      <c r="D128" s="727"/>
      <c r="E128" s="727"/>
      <c r="F128" s="727"/>
      <c r="G128" s="727"/>
      <c r="H128" s="727"/>
      <c r="I128" s="727"/>
      <c r="J128" s="728"/>
      <c r="K128" s="86"/>
      <c r="L128" s="86"/>
      <c r="M128" s="74"/>
      <c r="N128" s="68"/>
      <c r="O128" s="68"/>
      <c r="P128" s="68"/>
      <c r="Q128" s="68"/>
    </row>
    <row r="129" spans="1:17" x14ac:dyDescent="0.2">
      <c r="A129" s="70" t="s">
        <v>188</v>
      </c>
      <c r="B129" s="325">
        <v>0.1</v>
      </c>
      <c r="C129" s="729"/>
      <c r="D129" s="730"/>
      <c r="E129" s="730"/>
      <c r="F129" s="730"/>
      <c r="G129" s="730"/>
      <c r="H129" s="730"/>
      <c r="I129" s="730"/>
      <c r="J129" s="731"/>
      <c r="K129" s="348"/>
      <c r="L129" s="348"/>
      <c r="M129" s="349"/>
      <c r="N129" s="104"/>
      <c r="O129" s="104"/>
      <c r="P129" s="104"/>
      <c r="Q129" s="104"/>
    </row>
    <row r="130" spans="1:17" x14ac:dyDescent="0.2">
      <c r="A130" s="76"/>
      <c r="B130" s="41"/>
      <c r="C130" s="41"/>
      <c r="D130" s="41"/>
      <c r="E130" s="41"/>
      <c r="F130" s="41"/>
      <c r="G130" s="41"/>
      <c r="H130" s="41"/>
      <c r="I130" s="41"/>
      <c r="J130" s="41"/>
      <c r="K130" s="84"/>
      <c r="L130" s="84"/>
      <c r="M130" s="42"/>
      <c r="N130" s="68"/>
      <c r="O130" s="68"/>
      <c r="P130" s="68"/>
      <c r="Q130" s="68"/>
    </row>
    <row r="131" spans="1:17" s="68" customFormat="1" x14ac:dyDescent="0.2">
      <c r="A131" s="342" t="s">
        <v>181</v>
      </c>
      <c r="B131" s="343"/>
      <c r="C131" s="343"/>
      <c r="D131" s="343"/>
      <c r="E131" s="343"/>
      <c r="F131" s="343"/>
      <c r="G131" s="343"/>
      <c r="H131" s="343"/>
      <c r="I131" s="343"/>
      <c r="J131" s="343"/>
      <c r="K131" s="343"/>
      <c r="L131" s="343"/>
      <c r="M131" s="344"/>
    </row>
    <row r="132" spans="1:17" x14ac:dyDescent="0.2">
      <c r="A132" s="75"/>
      <c r="B132" s="71"/>
      <c r="C132" s="71"/>
      <c r="D132" s="71"/>
      <c r="E132" s="71"/>
      <c r="F132" s="71"/>
      <c r="G132" s="71"/>
      <c r="H132" s="71"/>
      <c r="I132" s="71"/>
      <c r="J132" s="71"/>
      <c r="K132" s="86"/>
      <c r="L132" s="86"/>
      <c r="M132" s="74"/>
      <c r="N132" s="68"/>
      <c r="O132" s="68"/>
      <c r="P132" s="68"/>
      <c r="Q132" s="68"/>
    </row>
    <row r="133" spans="1:17" x14ac:dyDescent="0.2">
      <c r="A133" s="69" t="s">
        <v>176</v>
      </c>
      <c r="B133" s="326">
        <v>7.0000000000000007E-2</v>
      </c>
      <c r="C133" s="71"/>
      <c r="D133" s="71"/>
      <c r="E133" s="71"/>
      <c r="F133" s="71"/>
      <c r="G133" s="71"/>
      <c r="H133" s="71"/>
      <c r="I133" s="71"/>
      <c r="J133" s="71"/>
      <c r="K133" s="86"/>
      <c r="L133" s="86"/>
      <c r="M133" s="74"/>
      <c r="N133" s="68"/>
      <c r="O133" s="68"/>
      <c r="P133" s="68"/>
      <c r="Q133" s="68"/>
    </row>
    <row r="134" spans="1:17" x14ac:dyDescent="0.2">
      <c r="A134" s="69" t="s">
        <v>177</v>
      </c>
      <c r="B134" s="326">
        <v>0</v>
      </c>
      <c r="C134" s="71"/>
      <c r="D134" s="71"/>
      <c r="E134" s="71"/>
      <c r="F134" s="71"/>
      <c r="G134" s="71"/>
      <c r="H134" s="71"/>
      <c r="I134" s="71"/>
      <c r="J134" s="71"/>
      <c r="K134" s="86"/>
      <c r="L134" s="86"/>
      <c r="M134" s="74"/>
      <c r="N134" s="68"/>
      <c r="O134" s="68"/>
      <c r="P134" s="68"/>
      <c r="Q134" s="68"/>
    </row>
    <row r="135" spans="1:17" x14ac:dyDescent="0.2">
      <c r="A135" s="69" t="s">
        <v>178</v>
      </c>
      <c r="B135" s="326">
        <v>0</v>
      </c>
      <c r="C135" s="71"/>
      <c r="D135" s="71"/>
      <c r="E135" s="71"/>
      <c r="F135" s="71"/>
      <c r="G135" s="71"/>
      <c r="H135" s="71"/>
      <c r="I135" s="71"/>
      <c r="J135" s="71"/>
      <c r="K135" s="86"/>
      <c r="L135" s="86"/>
      <c r="M135" s="74"/>
      <c r="N135" s="68"/>
      <c r="O135" s="68"/>
      <c r="P135" s="68"/>
      <c r="Q135" s="68"/>
    </row>
    <row r="136" spans="1:17" x14ac:dyDescent="0.2">
      <c r="A136" s="76"/>
      <c r="B136" s="41"/>
      <c r="C136" s="41"/>
      <c r="D136" s="41"/>
      <c r="E136" s="41"/>
      <c r="F136" s="41"/>
      <c r="G136" s="41"/>
      <c r="H136" s="41"/>
      <c r="I136" s="41"/>
      <c r="J136" s="41"/>
      <c r="K136" s="84"/>
      <c r="L136" s="84"/>
      <c r="M136" s="42"/>
      <c r="N136" s="187"/>
      <c r="O136" s="68"/>
      <c r="P136" s="68"/>
      <c r="Q136" s="68"/>
    </row>
    <row r="137" spans="1:17" s="68" customFormat="1" x14ac:dyDescent="0.2">
      <c r="A137" s="342" t="s">
        <v>294</v>
      </c>
      <c r="B137" s="343" t="s">
        <v>173</v>
      </c>
      <c r="C137" s="343"/>
      <c r="D137" s="343"/>
      <c r="E137" s="343"/>
      <c r="F137" s="343"/>
      <c r="G137" s="343"/>
      <c r="H137" s="343"/>
      <c r="I137" s="343"/>
      <c r="J137" s="343"/>
      <c r="K137" s="343"/>
      <c r="L137" s="343"/>
      <c r="M137" s="344"/>
    </row>
    <row r="138" spans="1:17" s="68" customFormat="1" x14ac:dyDescent="0.2">
      <c r="A138" s="350" t="s">
        <v>121</v>
      </c>
      <c r="B138" s="351"/>
      <c r="C138" s="351"/>
      <c r="D138" s="351"/>
      <c r="E138" s="351"/>
      <c r="F138" s="351"/>
      <c r="G138" s="351"/>
      <c r="H138" s="351"/>
      <c r="I138" s="351"/>
      <c r="J138" s="351"/>
      <c r="K138" s="351"/>
      <c r="L138" s="351"/>
      <c r="M138" s="352"/>
    </row>
    <row r="139" spans="1:17" x14ac:dyDescent="0.2">
      <c r="A139" s="75" t="str">
        <f>A148</f>
        <v>Totalt värmebehov:</v>
      </c>
      <c r="B139" s="366">
        <f>B148</f>
        <v>5200</v>
      </c>
      <c r="C139" s="71" t="str">
        <f>C148</f>
        <v>MWh/år</v>
      </c>
      <c r="D139" s="71"/>
      <c r="E139" s="71"/>
      <c r="F139" s="71"/>
      <c r="G139" s="71"/>
      <c r="H139" s="71"/>
      <c r="I139" s="71"/>
      <c r="J139" s="71"/>
      <c r="K139" s="71"/>
      <c r="L139" s="71"/>
      <c r="M139" s="74"/>
      <c r="N139" s="68"/>
      <c r="O139" s="68"/>
      <c r="P139" s="68"/>
      <c r="Q139" s="68"/>
    </row>
    <row r="140" spans="1:17" x14ac:dyDescent="0.2">
      <c r="A140" s="75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4"/>
      <c r="N140" s="68"/>
      <c r="O140" s="68"/>
      <c r="P140" s="68"/>
      <c r="Q140" s="68"/>
    </row>
    <row r="141" spans="1:17" x14ac:dyDescent="0.2">
      <c r="A141" s="338" t="s">
        <v>139</v>
      </c>
      <c r="B141" s="355" t="s">
        <v>171</v>
      </c>
      <c r="C141" s="356"/>
      <c r="D141" s="71"/>
      <c r="E141" s="71"/>
      <c r="F141" s="71"/>
      <c r="G141" s="71"/>
      <c r="H141" s="71"/>
      <c r="I141" s="71"/>
      <c r="J141" s="71"/>
      <c r="K141" s="71"/>
      <c r="L141" s="71"/>
      <c r="M141" s="74"/>
      <c r="N141" s="68"/>
      <c r="O141" s="68"/>
      <c r="P141" s="68"/>
      <c r="Q141" s="68"/>
    </row>
    <row r="142" spans="1:17" x14ac:dyDescent="0.2">
      <c r="A142" s="70" t="s">
        <v>170</v>
      </c>
      <c r="B142" s="732">
        <v>15</v>
      </c>
      <c r="C142" s="732"/>
      <c r="D142" s="71"/>
      <c r="E142" s="71"/>
      <c r="F142" s="71"/>
      <c r="G142" s="71"/>
      <c r="H142" s="71"/>
      <c r="I142" s="71"/>
      <c r="J142" s="71"/>
      <c r="K142" s="71"/>
      <c r="L142" s="71"/>
      <c r="M142" s="74"/>
      <c r="N142" s="68"/>
      <c r="O142" s="68"/>
      <c r="P142" s="68"/>
      <c r="Q142" s="68"/>
    </row>
    <row r="143" spans="1:17" x14ac:dyDescent="0.2">
      <c r="A143" s="70" t="s">
        <v>169</v>
      </c>
      <c r="B143" s="732">
        <v>25</v>
      </c>
      <c r="C143" s="732"/>
      <c r="D143" s="71"/>
      <c r="E143" s="71"/>
      <c r="F143" s="71"/>
      <c r="G143" s="71"/>
      <c r="H143" s="71"/>
      <c r="I143" s="71"/>
      <c r="J143" s="71"/>
      <c r="K143" s="71"/>
      <c r="L143" s="71"/>
      <c r="M143" s="74"/>
      <c r="N143" s="68"/>
      <c r="O143" s="68"/>
      <c r="P143" s="68"/>
      <c r="Q143" s="68"/>
    </row>
    <row r="144" spans="1:17" x14ac:dyDescent="0.2">
      <c r="A144" s="75"/>
      <c r="B144" s="71"/>
      <c r="C144" s="71"/>
      <c r="D144" s="71"/>
      <c r="E144" s="71"/>
      <c r="F144" s="71"/>
      <c r="G144" s="71"/>
      <c r="H144" s="71"/>
      <c r="I144" s="71"/>
      <c r="J144" s="71"/>
      <c r="K144" s="86"/>
      <c r="L144" s="86"/>
      <c r="M144" s="74"/>
      <c r="N144" s="187"/>
      <c r="O144" s="68"/>
      <c r="P144" s="68"/>
      <c r="Q144" s="68"/>
    </row>
    <row r="145" spans="1:18" ht="16" x14ac:dyDescent="0.2">
      <c r="A145" s="353"/>
      <c r="B145" s="354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2"/>
      <c r="N145" s="55"/>
      <c r="O145" s="55"/>
      <c r="P145" s="68"/>
      <c r="Q145" s="68"/>
    </row>
    <row r="146" spans="1:18" s="68" customFormat="1" x14ac:dyDescent="0.2">
      <c r="A146" s="342" t="s">
        <v>159</v>
      </c>
      <c r="B146" s="343" t="str">
        <f>INDATA!B47</f>
        <v xml:space="preserve"> Modern energieffektiv kontorsbyggnad</v>
      </c>
      <c r="C146" s="343"/>
      <c r="D146" s="343"/>
      <c r="E146" s="343"/>
      <c r="F146" s="343"/>
      <c r="G146" s="343"/>
      <c r="H146" s="343"/>
      <c r="I146" s="343"/>
      <c r="J146" s="343"/>
      <c r="K146" s="343"/>
      <c r="L146" s="343"/>
      <c r="M146" s="344"/>
    </row>
    <row r="147" spans="1:18" s="68" customFormat="1" x14ac:dyDescent="0.2">
      <c r="A147" s="350" t="s">
        <v>163</v>
      </c>
      <c r="B147" s="351"/>
      <c r="C147" s="351"/>
      <c r="D147" s="351"/>
      <c r="E147" s="351"/>
      <c r="F147" s="351"/>
      <c r="G147" s="351"/>
      <c r="H147" s="351"/>
      <c r="I147" s="351"/>
      <c r="J147" s="351"/>
      <c r="K147" s="351"/>
      <c r="L147" s="351"/>
      <c r="M147" s="352"/>
    </row>
    <row r="148" spans="1:18" s="68" customFormat="1" x14ac:dyDescent="0.2">
      <c r="A148" s="75" t="str">
        <f>INDATA!A45</f>
        <v>Totalt värmebehov:</v>
      </c>
      <c r="B148" s="365">
        <f>INDATA!C45</f>
        <v>5200</v>
      </c>
      <c r="C148" s="71" t="str">
        <f>INDATA!D45</f>
        <v>MWh/år</v>
      </c>
      <c r="D148" s="71"/>
      <c r="E148" s="71"/>
      <c r="F148" s="71"/>
      <c r="G148" s="71"/>
      <c r="H148" s="71"/>
      <c r="I148" s="71"/>
      <c r="J148" s="71"/>
      <c r="K148" s="71"/>
      <c r="L148" s="71"/>
      <c r="M148" s="74"/>
    </row>
    <row r="149" spans="1:18" s="68" customFormat="1" x14ac:dyDescent="0.2">
      <c r="A149" s="75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4"/>
      <c r="N149" s="55"/>
      <c r="O149" s="55"/>
    </row>
    <row r="150" spans="1:18" x14ac:dyDescent="0.2">
      <c r="A150" s="46" t="s">
        <v>139</v>
      </c>
      <c r="B150" s="72" t="s">
        <v>171</v>
      </c>
      <c r="C150" s="72" t="s">
        <v>160</v>
      </c>
      <c r="D150" s="71"/>
      <c r="E150" s="71"/>
      <c r="F150" s="71"/>
      <c r="G150" s="71"/>
      <c r="H150" s="71"/>
      <c r="I150" s="71"/>
      <c r="J150" s="71"/>
      <c r="K150" s="71"/>
      <c r="L150" s="71"/>
      <c r="M150" s="74"/>
      <c r="N150" s="357"/>
      <c r="O150" s="357"/>
      <c r="P150" s="357"/>
      <c r="Q150" s="68"/>
      <c r="R150" s="280"/>
    </row>
    <row r="151" spans="1:18" x14ac:dyDescent="0.2">
      <c r="A151" s="78" t="s">
        <v>205</v>
      </c>
      <c r="B151" s="324">
        <v>0</v>
      </c>
      <c r="C151" s="361" t="s">
        <v>161</v>
      </c>
      <c r="D151" s="361"/>
      <c r="E151" s="361"/>
      <c r="F151" s="361"/>
      <c r="G151" s="361"/>
      <c r="H151" s="361"/>
      <c r="I151" s="340"/>
      <c r="J151" s="340"/>
      <c r="K151" s="71"/>
      <c r="L151" s="71"/>
      <c r="M151" s="74"/>
      <c r="N151" s="68"/>
      <c r="O151" s="68"/>
      <c r="P151" s="68"/>
      <c r="Q151" s="68"/>
      <c r="R151" s="280"/>
    </row>
    <row r="152" spans="1:18" x14ac:dyDescent="0.2">
      <c r="A152" s="78"/>
      <c r="B152" s="360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4"/>
      <c r="N152" s="68"/>
      <c r="O152" s="68"/>
      <c r="P152" s="68"/>
      <c r="Q152" s="68"/>
      <c r="R152" s="280"/>
    </row>
    <row r="153" spans="1:18" x14ac:dyDescent="0.2">
      <c r="A153" s="78" t="s">
        <v>141</v>
      </c>
      <c r="B153" s="360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4"/>
      <c r="N153" s="68"/>
      <c r="O153" s="68"/>
      <c r="P153" s="68"/>
      <c r="Q153" s="68"/>
      <c r="R153" s="280"/>
    </row>
    <row r="154" spans="1:18" x14ac:dyDescent="0.2">
      <c r="A154" s="358" t="s">
        <v>142</v>
      </c>
      <c r="B154" s="323">
        <v>500</v>
      </c>
      <c r="C154" s="361" t="s">
        <v>162</v>
      </c>
      <c r="D154" s="361"/>
      <c r="E154" s="340"/>
      <c r="F154" s="71"/>
      <c r="G154" s="71"/>
      <c r="H154" s="71"/>
      <c r="I154" s="71"/>
      <c r="J154" s="71"/>
      <c r="K154" s="71"/>
      <c r="L154" s="71"/>
      <c r="M154" s="74"/>
      <c r="N154" s="68"/>
      <c r="O154" s="68"/>
      <c r="P154" s="68"/>
      <c r="Q154" s="68"/>
      <c r="R154" s="280"/>
    </row>
    <row r="155" spans="1:18" x14ac:dyDescent="0.2">
      <c r="A155" s="358" t="s">
        <v>143</v>
      </c>
      <c r="B155" s="360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4"/>
      <c r="N155" s="68"/>
      <c r="O155" s="68"/>
      <c r="P155" s="68"/>
      <c r="Q155" s="68"/>
      <c r="R155" s="280"/>
    </row>
    <row r="156" spans="1:18" x14ac:dyDescent="0.2">
      <c r="A156" s="75"/>
      <c r="B156" s="360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4"/>
      <c r="N156" s="68"/>
      <c r="O156" s="68"/>
      <c r="P156" s="68"/>
      <c r="Q156" s="68"/>
      <c r="R156" s="280"/>
    </row>
    <row r="157" spans="1:18" x14ac:dyDescent="0.2">
      <c r="A157" s="78" t="s">
        <v>144</v>
      </c>
      <c r="B157" s="360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4"/>
      <c r="N157" s="68"/>
      <c r="O157" s="68"/>
      <c r="P157" s="68"/>
      <c r="Q157" s="68"/>
      <c r="R157" s="280"/>
    </row>
    <row r="158" spans="1:18" x14ac:dyDescent="0.2">
      <c r="A158" s="358" t="s">
        <v>145</v>
      </c>
      <c r="B158" s="323">
        <f>1000000*('LÅSTA PARAMETRAR'!$B$100/'LÅSTA PARAMETRAR'!$N$27+'LÅSTA PARAMETRAR'!$Q$100/'LÅSTA PARAMETRAR'!$AC$27)/2</f>
        <v>1620.0608956110602</v>
      </c>
      <c r="C158" s="361" t="s">
        <v>162</v>
      </c>
      <c r="D158" s="361"/>
      <c r="E158" s="340"/>
      <c r="F158" s="71"/>
      <c r="G158" s="71"/>
      <c r="H158" s="71"/>
      <c r="I158" s="71"/>
      <c r="J158" s="71"/>
      <c r="K158" s="71"/>
      <c r="L158" s="71"/>
      <c r="M158" s="74"/>
      <c r="N158" s="68"/>
      <c r="O158" s="68"/>
      <c r="P158" s="68"/>
      <c r="Q158" s="68"/>
      <c r="R158" s="280"/>
    </row>
    <row r="159" spans="1:18" x14ac:dyDescent="0.2">
      <c r="A159" s="358" t="s">
        <v>146</v>
      </c>
      <c r="B159" s="360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4"/>
      <c r="N159" s="68"/>
      <c r="O159" s="68"/>
      <c r="P159" s="68"/>
      <c r="Q159" s="68"/>
      <c r="R159" s="280"/>
    </row>
    <row r="160" spans="1:18" x14ac:dyDescent="0.2">
      <c r="A160" s="75"/>
      <c r="B160" s="360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4"/>
      <c r="N160" s="68"/>
      <c r="O160" s="68"/>
      <c r="P160" s="68"/>
      <c r="Q160" s="68"/>
      <c r="R160" s="280"/>
    </row>
    <row r="161" spans="1:18" x14ac:dyDescent="0.2">
      <c r="A161" s="78" t="s">
        <v>147</v>
      </c>
      <c r="B161" s="360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4"/>
      <c r="N161" s="68"/>
      <c r="O161" s="68"/>
      <c r="P161" s="68"/>
      <c r="Q161" s="68"/>
      <c r="R161" s="280"/>
    </row>
    <row r="162" spans="1:18" x14ac:dyDescent="0.2">
      <c r="A162" s="358" t="s">
        <v>148</v>
      </c>
      <c r="B162" s="323">
        <v>3600</v>
      </c>
      <c r="C162" s="361" t="s">
        <v>161</v>
      </c>
      <c r="D162" s="361"/>
      <c r="E162" s="361"/>
      <c r="F162" s="361"/>
      <c r="G162" s="361"/>
      <c r="H162" s="361"/>
      <c r="I162" s="340"/>
      <c r="J162" s="340"/>
      <c r="K162" s="71"/>
      <c r="L162" s="71"/>
      <c r="M162" s="74"/>
      <c r="N162" s="68"/>
      <c r="O162" s="68"/>
      <c r="P162" s="68"/>
      <c r="Q162" s="68"/>
      <c r="R162" s="280"/>
    </row>
    <row r="163" spans="1:18" x14ac:dyDescent="0.2">
      <c r="A163" s="358" t="s">
        <v>149</v>
      </c>
      <c r="B163" s="360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4"/>
      <c r="N163" s="68"/>
      <c r="O163" s="68"/>
      <c r="P163" s="68"/>
      <c r="Q163" s="68"/>
      <c r="R163" s="280"/>
    </row>
    <row r="164" spans="1:18" x14ac:dyDescent="0.2">
      <c r="A164" s="358" t="s">
        <v>150</v>
      </c>
      <c r="B164" s="360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4"/>
      <c r="N164" s="68"/>
      <c r="O164" s="68"/>
      <c r="P164" s="68"/>
      <c r="Q164" s="68"/>
      <c r="R164" s="280"/>
    </row>
    <row r="165" spans="1:18" x14ac:dyDescent="0.2">
      <c r="A165" s="358"/>
      <c r="B165" s="360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4"/>
      <c r="N165" s="68"/>
      <c r="O165" s="68"/>
      <c r="P165" s="68"/>
      <c r="Q165" s="68"/>
      <c r="R165" s="280"/>
    </row>
    <row r="166" spans="1:18" x14ac:dyDescent="0.2">
      <c r="A166" s="78" t="s">
        <v>151</v>
      </c>
      <c r="B166" s="360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4"/>
      <c r="N166" s="68"/>
      <c r="O166" s="68"/>
      <c r="P166" s="68"/>
      <c r="Q166" s="68"/>
      <c r="R166" s="280"/>
    </row>
    <row r="167" spans="1:18" x14ac:dyDescent="0.2">
      <c r="A167" s="75" t="s">
        <v>152</v>
      </c>
      <c r="B167" s="323">
        <v>600</v>
      </c>
      <c r="C167" s="361" t="s">
        <v>161</v>
      </c>
      <c r="D167" s="361"/>
      <c r="E167" s="361"/>
      <c r="F167" s="361"/>
      <c r="G167" s="361"/>
      <c r="H167" s="361"/>
      <c r="I167" s="340"/>
      <c r="J167" s="340"/>
      <c r="K167" s="340"/>
      <c r="L167" s="71"/>
      <c r="M167" s="74"/>
      <c r="N167" s="68"/>
      <c r="O167" s="68"/>
      <c r="P167" s="68"/>
      <c r="Q167" s="68"/>
      <c r="R167" s="280"/>
    </row>
    <row r="168" spans="1:18" x14ac:dyDescent="0.2">
      <c r="A168" s="75" t="s">
        <v>153</v>
      </c>
      <c r="B168" s="360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4"/>
      <c r="N168" s="68"/>
      <c r="O168" s="68"/>
      <c r="P168" s="68"/>
      <c r="Q168" s="68"/>
      <c r="R168" s="280"/>
    </row>
    <row r="169" spans="1:18" x14ac:dyDescent="0.2">
      <c r="A169" s="75" t="s">
        <v>154</v>
      </c>
      <c r="B169" s="360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4"/>
      <c r="N169" s="68"/>
      <c r="O169" s="55"/>
      <c r="P169" s="68"/>
      <c r="Q169" s="68"/>
    </row>
    <row r="170" spans="1:18" x14ac:dyDescent="0.2">
      <c r="A170" s="75"/>
      <c r="B170" s="360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4"/>
      <c r="N170" s="68"/>
      <c r="O170" s="55"/>
      <c r="P170" s="68"/>
      <c r="Q170" s="68"/>
    </row>
    <row r="171" spans="1:18" x14ac:dyDescent="0.2">
      <c r="A171" s="78" t="s">
        <v>206</v>
      </c>
      <c r="B171" s="324">
        <v>0</v>
      </c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4"/>
      <c r="N171" s="68"/>
      <c r="O171" s="55"/>
      <c r="P171" s="68"/>
      <c r="Q171" s="68"/>
    </row>
    <row r="172" spans="1:18" x14ac:dyDescent="0.2">
      <c r="A172" s="76"/>
      <c r="B172" s="359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2"/>
      <c r="N172" s="68"/>
      <c r="O172" s="55"/>
      <c r="P172" s="68"/>
      <c r="Q172" s="68"/>
    </row>
    <row r="173" spans="1:18" s="68" customFormat="1" x14ac:dyDescent="0.2">
      <c r="A173" s="342" t="s">
        <v>159</v>
      </c>
      <c r="B173" s="343" t="str">
        <f>INDATA!B48</f>
        <v>Äldre energirenoverad kontorsbyggnad</v>
      </c>
      <c r="C173" s="343"/>
      <c r="D173" s="343"/>
      <c r="E173" s="343"/>
      <c r="F173" s="343"/>
      <c r="G173" s="343"/>
      <c r="H173" s="343"/>
      <c r="I173" s="343"/>
      <c r="J173" s="343"/>
      <c r="K173" s="343"/>
      <c r="L173" s="343"/>
      <c r="M173" s="344"/>
    </row>
    <row r="174" spans="1:18" s="68" customFormat="1" x14ac:dyDescent="0.2">
      <c r="A174" s="350" t="s">
        <v>163</v>
      </c>
      <c r="B174" s="351"/>
      <c r="C174" s="351"/>
      <c r="D174" s="351"/>
      <c r="E174" s="351"/>
      <c r="F174" s="351"/>
      <c r="G174" s="351"/>
      <c r="H174" s="351"/>
      <c r="I174" s="351"/>
      <c r="J174" s="351"/>
      <c r="K174" s="351"/>
      <c r="L174" s="351"/>
      <c r="M174" s="352"/>
    </row>
    <row r="175" spans="1:18" s="68" customFormat="1" x14ac:dyDescent="0.2">
      <c r="A175" s="75" t="str">
        <f>INDATA!A45</f>
        <v>Totalt värmebehov:</v>
      </c>
      <c r="B175" s="365">
        <f>INDATA!C45</f>
        <v>5200</v>
      </c>
      <c r="C175" s="71" t="str">
        <f>INDATA!D45</f>
        <v>MWh/år</v>
      </c>
      <c r="D175" s="71"/>
      <c r="E175" s="71"/>
      <c r="F175" s="71"/>
      <c r="G175" s="71"/>
      <c r="H175" s="71"/>
      <c r="I175" s="71"/>
      <c r="J175" s="71"/>
      <c r="K175" s="71"/>
      <c r="L175" s="71"/>
      <c r="M175" s="74"/>
    </row>
    <row r="176" spans="1:18" s="68" customFormat="1" x14ac:dyDescent="0.2">
      <c r="A176" s="75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4"/>
      <c r="N176" s="55"/>
      <c r="O176" s="55"/>
    </row>
    <row r="177" spans="1:19" x14ac:dyDescent="0.2">
      <c r="A177" s="46" t="s">
        <v>139</v>
      </c>
      <c r="B177" s="72" t="s">
        <v>171</v>
      </c>
      <c r="C177" s="72" t="s">
        <v>160</v>
      </c>
      <c r="D177" s="71"/>
      <c r="E177" s="71"/>
      <c r="F177" s="71"/>
      <c r="G177" s="71"/>
      <c r="H177" s="71"/>
      <c r="I177" s="71"/>
      <c r="J177" s="71"/>
      <c r="K177" s="71"/>
      <c r="L177" s="71"/>
      <c r="M177" s="74"/>
      <c r="N177" s="68"/>
      <c r="O177" s="55"/>
      <c r="P177" s="68"/>
      <c r="Q177" s="68"/>
    </row>
    <row r="178" spans="1:19" x14ac:dyDescent="0.2">
      <c r="A178" s="78" t="s">
        <v>205</v>
      </c>
      <c r="B178" s="324">
        <v>0</v>
      </c>
      <c r="C178" s="361" t="s">
        <v>161</v>
      </c>
      <c r="D178" s="361"/>
      <c r="E178" s="361"/>
      <c r="F178" s="361"/>
      <c r="G178" s="361"/>
      <c r="H178" s="361"/>
      <c r="I178" s="340"/>
      <c r="J178" s="340"/>
      <c r="K178" s="71"/>
      <c r="L178" s="71"/>
      <c r="M178" s="74"/>
      <c r="N178" s="304"/>
      <c r="O178" s="55"/>
      <c r="P178" s="68"/>
      <c r="Q178" s="68"/>
    </row>
    <row r="179" spans="1:19" x14ac:dyDescent="0.2">
      <c r="A179" s="78"/>
      <c r="B179" s="360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4"/>
      <c r="N179" s="68"/>
      <c r="O179" s="55"/>
      <c r="P179" s="68"/>
      <c r="Q179" s="68"/>
    </row>
    <row r="180" spans="1:19" x14ac:dyDescent="0.2">
      <c r="A180" s="78" t="s">
        <v>141</v>
      </c>
      <c r="B180" s="360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4"/>
      <c r="N180" s="68"/>
      <c r="O180" s="55"/>
      <c r="P180" s="68"/>
      <c r="Q180" s="68"/>
    </row>
    <row r="181" spans="1:19" x14ac:dyDescent="0.2">
      <c r="A181" s="358" t="s">
        <v>142</v>
      </c>
      <c r="B181" s="362">
        <v>500</v>
      </c>
      <c r="C181" s="363" t="s">
        <v>162</v>
      </c>
      <c r="D181" s="364"/>
      <c r="E181" s="340"/>
      <c r="F181" s="71"/>
      <c r="G181" s="71"/>
      <c r="H181" s="71"/>
      <c r="I181" s="71"/>
      <c r="J181" s="71"/>
      <c r="K181" s="71"/>
      <c r="L181" s="71"/>
      <c r="M181" s="74"/>
      <c r="N181" s="68"/>
      <c r="O181" s="55"/>
      <c r="P181" s="68"/>
      <c r="Q181" s="68"/>
    </row>
    <row r="182" spans="1:19" x14ac:dyDescent="0.2">
      <c r="A182" s="358" t="s">
        <v>143</v>
      </c>
      <c r="B182" s="360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4"/>
      <c r="N182" s="68"/>
      <c r="O182" s="55"/>
      <c r="P182" s="68"/>
      <c r="Q182" s="68"/>
    </row>
    <row r="183" spans="1:19" x14ac:dyDescent="0.2">
      <c r="A183" s="75"/>
      <c r="B183" s="360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4"/>
      <c r="N183" s="68"/>
      <c r="O183" s="55"/>
      <c r="P183" s="68"/>
      <c r="Q183" s="68"/>
      <c r="R183" s="280"/>
      <c r="S183" s="280"/>
    </row>
    <row r="184" spans="1:19" x14ac:dyDescent="0.2">
      <c r="A184" s="78" t="s">
        <v>144</v>
      </c>
      <c r="B184" s="360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4"/>
      <c r="N184" s="68"/>
      <c r="O184" s="55"/>
      <c r="P184" s="68"/>
      <c r="Q184" s="68"/>
      <c r="R184" s="280"/>
      <c r="S184" s="280"/>
    </row>
    <row r="185" spans="1:19" x14ac:dyDescent="0.2">
      <c r="A185" s="358" t="s">
        <v>145</v>
      </c>
      <c r="B185" s="362">
        <f>1000000*('LÅSTA PARAMETRAR'!$B$107/'LÅSTA PARAMETRAR'!$N$45+'LÅSTA PARAMETRAR'!$Q$107/'LÅSTA PARAMETRAR'!$AC$45)/2</f>
        <v>2142.7733674775932</v>
      </c>
      <c r="C185" s="363" t="s">
        <v>162</v>
      </c>
      <c r="D185" s="364"/>
      <c r="E185" s="340"/>
      <c r="F185" s="71"/>
      <c r="G185" s="71"/>
      <c r="H185" s="71"/>
      <c r="I185" s="71"/>
      <c r="J185" s="71"/>
      <c r="K185" s="71"/>
      <c r="L185" s="71"/>
      <c r="M185" s="74"/>
      <c r="N185" s="68"/>
      <c r="O185" s="55"/>
      <c r="P185" s="68"/>
      <c r="Q185" s="68"/>
      <c r="R185" s="280"/>
      <c r="S185" s="280"/>
    </row>
    <row r="186" spans="1:19" x14ac:dyDescent="0.2">
      <c r="A186" s="358" t="s">
        <v>146</v>
      </c>
      <c r="B186" s="360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4"/>
      <c r="N186" s="68"/>
      <c r="O186" s="55"/>
      <c r="P186" s="68"/>
      <c r="Q186" s="68"/>
      <c r="R186" s="280"/>
      <c r="S186" s="280"/>
    </row>
    <row r="187" spans="1:19" x14ac:dyDescent="0.2">
      <c r="A187" s="75"/>
      <c r="B187" s="360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4"/>
      <c r="N187" s="68"/>
      <c r="O187" s="55"/>
      <c r="P187" s="68"/>
      <c r="Q187" s="68"/>
      <c r="R187" s="280"/>
      <c r="S187" s="280"/>
    </row>
    <row r="188" spans="1:19" x14ac:dyDescent="0.2">
      <c r="A188" s="78" t="s">
        <v>147</v>
      </c>
      <c r="B188" s="360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4"/>
      <c r="N188" s="68"/>
      <c r="O188" s="55"/>
      <c r="P188" s="68"/>
      <c r="Q188" s="68"/>
      <c r="R188" s="280"/>
      <c r="S188" s="280"/>
    </row>
    <row r="189" spans="1:19" x14ac:dyDescent="0.2">
      <c r="A189" s="358" t="s">
        <v>148</v>
      </c>
      <c r="B189" s="362">
        <v>0</v>
      </c>
      <c r="C189" s="363" t="s">
        <v>161</v>
      </c>
      <c r="D189" s="363"/>
      <c r="E189" s="363"/>
      <c r="F189" s="363"/>
      <c r="G189" s="363"/>
      <c r="H189" s="364"/>
      <c r="I189" s="340"/>
      <c r="J189" s="340"/>
      <c r="K189" s="71"/>
      <c r="L189" s="71"/>
      <c r="M189" s="74"/>
      <c r="N189" s="68"/>
      <c r="O189" s="55"/>
      <c r="P189" s="68"/>
      <c r="Q189" s="68"/>
      <c r="R189" s="280"/>
      <c r="S189" s="280"/>
    </row>
    <row r="190" spans="1:19" x14ac:dyDescent="0.2">
      <c r="A190" s="358" t="s">
        <v>149</v>
      </c>
      <c r="B190" s="360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4"/>
      <c r="N190" s="68"/>
      <c r="O190" s="55"/>
      <c r="P190" s="68"/>
      <c r="Q190" s="68"/>
    </row>
    <row r="191" spans="1:19" x14ac:dyDescent="0.2">
      <c r="A191" s="358" t="s">
        <v>150</v>
      </c>
      <c r="B191" s="360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4"/>
      <c r="N191" s="68"/>
      <c r="O191" s="55"/>
      <c r="P191" s="68"/>
      <c r="Q191" s="68"/>
    </row>
    <row r="192" spans="1:19" x14ac:dyDescent="0.2">
      <c r="A192" s="358"/>
      <c r="B192" s="360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4"/>
      <c r="N192" s="68"/>
      <c r="O192" s="55"/>
      <c r="P192" s="68"/>
      <c r="Q192" s="68"/>
    </row>
    <row r="193" spans="1:19" x14ac:dyDescent="0.2">
      <c r="A193" s="78" t="s">
        <v>151</v>
      </c>
      <c r="B193" s="360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4"/>
      <c r="N193" s="68"/>
      <c r="O193" s="55"/>
      <c r="P193" s="68"/>
      <c r="Q193" s="68"/>
    </row>
    <row r="194" spans="1:19" x14ac:dyDescent="0.2">
      <c r="A194" s="75" t="s">
        <v>152</v>
      </c>
      <c r="B194" s="362">
        <v>500</v>
      </c>
      <c r="C194" s="363" t="s">
        <v>161</v>
      </c>
      <c r="D194" s="363"/>
      <c r="E194" s="363"/>
      <c r="F194" s="363"/>
      <c r="G194" s="363"/>
      <c r="H194" s="364"/>
      <c r="I194" s="340"/>
      <c r="J194" s="340"/>
      <c r="K194" s="340"/>
      <c r="L194" s="71"/>
      <c r="M194" s="74"/>
      <c r="N194" s="68"/>
      <c r="O194" s="55"/>
      <c r="P194" s="68"/>
      <c r="Q194" s="68"/>
    </row>
    <row r="195" spans="1:19" x14ac:dyDescent="0.2">
      <c r="A195" s="75" t="s">
        <v>153</v>
      </c>
      <c r="B195" s="360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4"/>
      <c r="N195" s="68"/>
      <c r="O195" s="55"/>
      <c r="P195" s="68"/>
      <c r="Q195" s="68"/>
    </row>
    <row r="196" spans="1:19" x14ac:dyDescent="0.2">
      <c r="A196" s="75" t="s">
        <v>154</v>
      </c>
      <c r="B196" s="360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4"/>
      <c r="N196" s="68"/>
      <c r="O196" s="55"/>
      <c r="P196" s="68"/>
      <c r="Q196" s="68"/>
    </row>
    <row r="197" spans="1:19" x14ac:dyDescent="0.2">
      <c r="A197" s="75"/>
      <c r="B197" s="360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4"/>
      <c r="N197" s="68"/>
      <c r="O197" s="55"/>
      <c r="P197" s="68"/>
      <c r="Q197" s="68"/>
    </row>
    <row r="198" spans="1:19" x14ac:dyDescent="0.2">
      <c r="A198" s="78" t="s">
        <v>206</v>
      </c>
      <c r="B198" s="324">
        <v>0</v>
      </c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4"/>
      <c r="N198" s="68"/>
      <c r="O198" s="55"/>
      <c r="P198" s="68"/>
      <c r="Q198" s="68"/>
    </row>
    <row r="199" spans="1:19" s="55" customFormat="1" x14ac:dyDescent="0.2">
      <c r="A199" s="46"/>
      <c r="B199" s="359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2"/>
    </row>
    <row r="200" spans="1:19" s="68" customFormat="1" x14ac:dyDescent="0.2">
      <c r="A200" s="342" t="s">
        <v>159</v>
      </c>
      <c r="B200" s="343" t="str">
        <f>INDATA!B49</f>
        <v>Energirenoverat miljonprogram</v>
      </c>
      <c r="C200" s="343"/>
      <c r="D200" s="343"/>
      <c r="E200" s="343"/>
      <c r="F200" s="343"/>
      <c r="G200" s="343"/>
      <c r="H200" s="343"/>
      <c r="I200" s="343"/>
      <c r="J200" s="343"/>
      <c r="K200" s="343"/>
      <c r="L200" s="343"/>
      <c r="M200" s="344"/>
    </row>
    <row r="201" spans="1:19" s="68" customFormat="1" x14ac:dyDescent="0.2">
      <c r="A201" s="350" t="s">
        <v>163</v>
      </c>
      <c r="B201" s="351"/>
      <c r="C201" s="351"/>
      <c r="D201" s="351"/>
      <c r="E201" s="351"/>
      <c r="F201" s="351"/>
      <c r="G201" s="351"/>
      <c r="H201" s="351"/>
      <c r="I201" s="351"/>
      <c r="J201" s="351"/>
      <c r="K201" s="351"/>
      <c r="L201" s="351"/>
      <c r="M201" s="352"/>
    </row>
    <row r="202" spans="1:19" s="68" customFormat="1" x14ac:dyDescent="0.2">
      <c r="A202" s="75" t="str">
        <f>INDATA!A45</f>
        <v>Totalt värmebehov:</v>
      </c>
      <c r="B202" s="365">
        <f>INDATA!C45</f>
        <v>5200</v>
      </c>
      <c r="C202" s="71" t="str">
        <f>INDATA!D45</f>
        <v>MWh/år</v>
      </c>
      <c r="D202" s="71"/>
      <c r="E202" s="71"/>
      <c r="F202" s="71"/>
      <c r="G202" s="71"/>
      <c r="H202" s="71"/>
      <c r="I202" s="71"/>
      <c r="J202" s="71"/>
      <c r="K202" s="71"/>
      <c r="L202" s="71"/>
      <c r="M202" s="74"/>
    </row>
    <row r="203" spans="1:19" s="68" customFormat="1" x14ac:dyDescent="0.2">
      <c r="A203" s="75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4"/>
      <c r="N203" s="55"/>
      <c r="O203" s="55"/>
    </row>
    <row r="204" spans="1:19" x14ac:dyDescent="0.2">
      <c r="A204" s="78" t="s">
        <v>139</v>
      </c>
      <c r="B204" s="72" t="s">
        <v>171</v>
      </c>
      <c r="C204" s="72" t="s">
        <v>160</v>
      </c>
      <c r="D204" s="71"/>
      <c r="E204" s="71"/>
      <c r="F204" s="71"/>
      <c r="G204" s="71"/>
      <c r="H204" s="71"/>
      <c r="I204" s="71"/>
      <c r="J204" s="71"/>
      <c r="K204" s="71"/>
      <c r="L204" s="71"/>
      <c r="M204" s="74"/>
      <c r="O204" s="27"/>
    </row>
    <row r="205" spans="1:19" x14ac:dyDescent="0.2">
      <c r="A205" s="78" t="s">
        <v>205</v>
      </c>
      <c r="B205" s="367">
        <v>0</v>
      </c>
      <c r="C205" s="369" t="s">
        <v>161</v>
      </c>
      <c r="D205" s="369"/>
      <c r="E205" s="369"/>
      <c r="F205" s="369"/>
      <c r="G205" s="369"/>
      <c r="H205" s="369"/>
      <c r="I205" s="340"/>
      <c r="J205" s="340"/>
      <c r="K205" s="71"/>
      <c r="L205" s="71"/>
      <c r="M205" s="74"/>
      <c r="O205" s="27"/>
    </row>
    <row r="206" spans="1:19" x14ac:dyDescent="0.2">
      <c r="A206" s="78"/>
      <c r="B206" s="360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4"/>
      <c r="O206" s="27"/>
    </row>
    <row r="207" spans="1:19" x14ac:dyDescent="0.2">
      <c r="A207" s="78" t="s">
        <v>141</v>
      </c>
      <c r="B207" s="360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4"/>
      <c r="O207" s="27"/>
      <c r="Q207" s="280"/>
      <c r="R207" s="280"/>
      <c r="S207" s="280"/>
    </row>
    <row r="208" spans="1:19" x14ac:dyDescent="0.2">
      <c r="A208" s="358" t="s">
        <v>142</v>
      </c>
      <c r="B208" s="368">
        <v>500</v>
      </c>
      <c r="C208" s="369" t="s">
        <v>162</v>
      </c>
      <c r="D208" s="369"/>
      <c r="E208" s="340"/>
      <c r="F208" s="71"/>
      <c r="G208" s="71"/>
      <c r="H208" s="71"/>
      <c r="I208" s="71"/>
      <c r="J208" s="71"/>
      <c r="K208" s="71"/>
      <c r="L208" s="71"/>
      <c r="M208" s="74"/>
      <c r="O208" s="27"/>
      <c r="Q208" s="280"/>
      <c r="R208" s="280"/>
      <c r="S208" s="280"/>
    </row>
    <row r="209" spans="1:19" x14ac:dyDescent="0.2">
      <c r="A209" s="358" t="s">
        <v>143</v>
      </c>
      <c r="B209" s="360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4"/>
      <c r="O209" s="27"/>
      <c r="Q209" s="280"/>
      <c r="R209" s="280"/>
      <c r="S209" s="280"/>
    </row>
    <row r="210" spans="1:19" x14ac:dyDescent="0.2">
      <c r="A210" s="75"/>
      <c r="B210" s="360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4"/>
      <c r="O210" s="27"/>
      <c r="Q210" s="280"/>
      <c r="R210" s="280"/>
      <c r="S210" s="280"/>
    </row>
    <row r="211" spans="1:19" x14ac:dyDescent="0.2">
      <c r="A211" s="78" t="s">
        <v>144</v>
      </c>
      <c r="B211" s="360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4"/>
      <c r="O211" s="27"/>
      <c r="Q211" s="280"/>
      <c r="R211" s="280"/>
      <c r="S211" s="280"/>
    </row>
    <row r="212" spans="1:19" x14ac:dyDescent="0.2">
      <c r="A212" s="358" t="s">
        <v>145</v>
      </c>
      <c r="B212" s="368">
        <f>1000000*('LÅSTA PARAMETRAR'!$B$114/'LÅSTA PARAMETRAR'!$N$63+'LÅSTA PARAMETRAR'!$Q$114/'LÅSTA PARAMETRAR'!$AC$63)/2</f>
        <v>2507.2623924001564</v>
      </c>
      <c r="C212" s="369" t="s">
        <v>162</v>
      </c>
      <c r="D212" s="369"/>
      <c r="E212" s="340"/>
      <c r="F212" s="71"/>
      <c r="G212" s="71"/>
      <c r="H212" s="71"/>
      <c r="I212" s="71"/>
      <c r="J212" s="71"/>
      <c r="K212" s="71"/>
      <c r="L212" s="71"/>
      <c r="M212" s="74"/>
      <c r="O212" s="27"/>
      <c r="Q212" s="280"/>
      <c r="R212" s="280"/>
      <c r="S212" s="280"/>
    </row>
    <row r="213" spans="1:19" x14ac:dyDescent="0.2">
      <c r="A213" s="358" t="s">
        <v>146</v>
      </c>
      <c r="B213" s="360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4"/>
      <c r="O213" s="27"/>
      <c r="Q213" s="280"/>
      <c r="R213" s="280"/>
      <c r="S213" s="280"/>
    </row>
    <row r="214" spans="1:19" x14ac:dyDescent="0.2">
      <c r="A214" s="75"/>
      <c r="B214" s="360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4"/>
      <c r="O214" s="27"/>
      <c r="Q214" s="280"/>
      <c r="R214" s="280"/>
      <c r="S214" s="280"/>
    </row>
    <row r="215" spans="1:19" x14ac:dyDescent="0.2">
      <c r="A215" s="78" t="s">
        <v>147</v>
      </c>
      <c r="B215" s="360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4"/>
      <c r="O215" s="27"/>
      <c r="Q215" s="280"/>
      <c r="R215" s="280"/>
      <c r="S215" s="280"/>
    </row>
    <row r="216" spans="1:19" x14ac:dyDescent="0.2">
      <c r="A216" s="358" t="s">
        <v>148</v>
      </c>
      <c r="B216" s="368">
        <v>0</v>
      </c>
      <c r="C216" s="369" t="s">
        <v>161</v>
      </c>
      <c r="D216" s="369"/>
      <c r="E216" s="369"/>
      <c r="F216" s="369"/>
      <c r="G216" s="369"/>
      <c r="H216" s="369"/>
      <c r="I216" s="340"/>
      <c r="J216" s="340"/>
      <c r="K216" s="71"/>
      <c r="L216" s="71"/>
      <c r="M216" s="74"/>
      <c r="O216" s="27"/>
    </row>
    <row r="217" spans="1:19" x14ac:dyDescent="0.2">
      <c r="A217" s="358" t="s">
        <v>149</v>
      </c>
      <c r="B217" s="360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4"/>
      <c r="O217" s="27"/>
    </row>
    <row r="218" spans="1:19" x14ac:dyDescent="0.2">
      <c r="A218" s="358" t="s">
        <v>150</v>
      </c>
      <c r="B218" s="360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4"/>
      <c r="O218" s="27"/>
    </row>
    <row r="219" spans="1:19" x14ac:dyDescent="0.2">
      <c r="A219" s="358"/>
      <c r="B219" s="360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4"/>
      <c r="O219" s="27"/>
    </row>
    <row r="220" spans="1:19" x14ac:dyDescent="0.2">
      <c r="A220" s="78" t="s">
        <v>151</v>
      </c>
      <c r="B220" s="360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4"/>
      <c r="O220" s="27"/>
    </row>
    <row r="221" spans="1:19" x14ac:dyDescent="0.2">
      <c r="A221" s="75" t="s">
        <v>152</v>
      </c>
      <c r="B221" s="368">
        <v>400</v>
      </c>
      <c r="C221" s="369" t="s">
        <v>161</v>
      </c>
      <c r="D221" s="369"/>
      <c r="E221" s="369"/>
      <c r="F221" s="369"/>
      <c r="G221" s="369"/>
      <c r="H221" s="369"/>
      <c r="I221" s="340"/>
      <c r="J221" s="340"/>
      <c r="K221" s="340"/>
      <c r="L221" s="71"/>
      <c r="M221" s="74"/>
      <c r="O221" s="27"/>
    </row>
    <row r="222" spans="1:19" x14ac:dyDescent="0.2">
      <c r="A222" s="75" t="s">
        <v>153</v>
      </c>
      <c r="B222" s="360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4"/>
      <c r="O222" s="27"/>
    </row>
    <row r="223" spans="1:19" x14ac:dyDescent="0.2">
      <c r="A223" s="75" t="s">
        <v>154</v>
      </c>
      <c r="B223" s="360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4"/>
      <c r="O223" s="27"/>
    </row>
    <row r="224" spans="1:19" x14ac:dyDescent="0.2">
      <c r="A224" s="75"/>
      <c r="B224" s="360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4"/>
      <c r="O224" s="27"/>
    </row>
    <row r="225" spans="1:13" s="55" customFormat="1" x14ac:dyDescent="0.2">
      <c r="A225" s="78" t="s">
        <v>206</v>
      </c>
      <c r="B225" s="367">
        <v>0</v>
      </c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4"/>
    </row>
    <row r="226" spans="1:13" s="55" customFormat="1" x14ac:dyDescent="0.2">
      <c r="A226" s="76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2"/>
    </row>
    <row r="227" spans="1:13" s="55" customFormat="1" x14ac:dyDescent="0.2"/>
    <row r="228" spans="1:13" s="55" customFormat="1" x14ac:dyDescent="0.2"/>
    <row r="229" spans="1:13" s="55" customFormat="1" x14ac:dyDescent="0.2"/>
  </sheetData>
  <mergeCells count="4">
    <mergeCell ref="A12:M12"/>
    <mergeCell ref="C128:J129"/>
    <mergeCell ref="B142:C142"/>
    <mergeCell ref="B143:C143"/>
  </mergeCells>
  <conditionalFormatting sqref="B26:M26">
    <cfRule type="cellIs" dxfId="6" priority="5" operator="equal">
      <formula>1</formula>
    </cfRule>
  </conditionalFormatting>
  <conditionalFormatting sqref="B41:M41">
    <cfRule type="cellIs" dxfId="5" priority="4" operator="equal">
      <formula>1</formula>
    </cfRule>
  </conditionalFormatting>
  <conditionalFormatting sqref="B57:M57">
    <cfRule type="cellIs" dxfId="4" priority="3" operator="equal">
      <formula>1</formula>
    </cfRule>
  </conditionalFormatting>
  <conditionalFormatting sqref="B72:M72">
    <cfRule type="cellIs" dxfId="3" priority="2" operator="equal">
      <formula>1</formula>
    </cfRule>
  </conditionalFormatting>
  <conditionalFormatting sqref="B87:M87">
    <cfRule type="cellIs" dxfId="2" priority="1" operator="equal">
      <formula>1</formula>
    </cfRule>
  </conditionalFormatting>
  <pageMargins left="0.7" right="0.7" top="0.75" bottom="0.75" header="0.3" footer="0.3"/>
  <pageSetup paperSize="9" scale="67" orientation="portrait" r:id="rId1"/>
  <rowBreaks count="1" manualBreakCount="1">
    <brk id="73" max="16383" man="1"/>
  </rowBreaks>
  <colBreaks count="1" manualBreakCount="1">
    <brk id="13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 tint="-0.249977111117893"/>
    <pageSetUpPr fitToPage="1"/>
  </sheetPr>
  <dimension ref="A1:AC114"/>
  <sheetViews>
    <sheetView topLeftCell="A91" workbookViewId="0"/>
  </sheetViews>
  <sheetFormatPr baseColWidth="10" defaultColWidth="8.83203125" defaultRowHeight="15" x14ac:dyDescent="0.2"/>
  <cols>
    <col min="1" max="1" width="49" bestFit="1" customWidth="1"/>
    <col min="2" max="13" width="5.1640625" customWidth="1"/>
    <col min="14" max="14" width="7.1640625" customWidth="1"/>
    <col min="16" max="16" width="37.33203125" bestFit="1" customWidth="1"/>
    <col min="17" max="28" width="5.1640625" customWidth="1"/>
    <col min="29" max="29" width="10.33203125" customWidth="1"/>
  </cols>
  <sheetData>
    <row r="1" spans="1:29" s="2" customFormat="1" ht="19" x14ac:dyDescent="0.25">
      <c r="A1" s="2" t="s">
        <v>5</v>
      </c>
    </row>
    <row r="2" spans="1:29" s="1" customFormat="1" ht="11" x14ac:dyDescent="0.15">
      <c r="A2" s="123" t="str">
        <f>INDATA!A2</f>
        <v>Fastighetsnära säsongslagring av fjärrvärme, Energiforsk rapport 2016:321, år 2016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</row>
    <row r="3" spans="1:29" s="1" customFormat="1" ht="11" x14ac:dyDescent="0.15">
      <c r="A3" s="117" t="str">
        <f>INDATA!A3</f>
        <v>Utvecklat av DEVCCO och SP Sveriges Tekniska Forskningsintitut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</row>
    <row r="4" spans="1:29" s="1" customFormat="1" ht="11" x14ac:dyDescent="0.15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9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</row>
    <row r="5" spans="1:29" s="1" customFormat="1" ht="11" x14ac:dyDescent="0.15">
      <c r="A5" s="117" t="str">
        <f>INDATA!A5</f>
        <v>Oskar Räftegård och Mikael Rosén, SP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9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</row>
    <row r="6" spans="1:29" s="1" customFormat="1" ht="11" x14ac:dyDescent="0.15">
      <c r="A6" s="117" t="str">
        <f>INDATA!A6</f>
        <v>Joakim Nilsson och Jonathan Cygnaeus, DEVCCO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9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</row>
    <row r="7" spans="1:29" s="1" customFormat="1" ht="11" x14ac:dyDescent="0.15">
      <c r="A7" s="120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2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  <c r="AC7" s="298"/>
    </row>
    <row r="9" spans="1:29" x14ac:dyDescent="0.2">
      <c r="A9" s="43" t="s">
        <v>130</v>
      </c>
      <c r="B9" s="44"/>
      <c r="C9" s="44"/>
      <c r="D9" s="44"/>
      <c r="E9" s="44"/>
      <c r="F9" s="44"/>
      <c r="G9" s="45"/>
    </row>
    <row r="10" spans="1:29" x14ac:dyDescent="0.2">
      <c r="A10" s="46" t="s">
        <v>6</v>
      </c>
      <c r="B10" s="47"/>
      <c r="C10" s="47"/>
      <c r="D10" s="47"/>
      <c r="E10" s="47"/>
      <c r="F10" s="47"/>
      <c r="G10" s="48"/>
    </row>
    <row r="12" spans="1:29" s="49" customFormat="1" x14ac:dyDescent="0.2">
      <c r="A12" s="62" t="s">
        <v>62</v>
      </c>
    </row>
    <row r="13" spans="1:29" x14ac:dyDescent="0.2">
      <c r="A13" t="s">
        <v>74</v>
      </c>
    </row>
    <row r="14" spans="1:29" s="5" customFormat="1" x14ac:dyDescent="0.2">
      <c r="A14" s="37" t="str">
        <f>INDATA!B47</f>
        <v xml:space="preserve"> Modern energieffektiv kontorsbyggnad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</row>
    <row r="15" spans="1:29" x14ac:dyDescent="0.2">
      <c r="A15" s="87">
        <f>N19</f>
        <v>1400</v>
      </c>
      <c r="B15" s="4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4"/>
      <c r="O15" s="4"/>
      <c r="P15" s="4">
        <f>A15*1.5</f>
        <v>2100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x14ac:dyDescent="0.2">
      <c r="A16" s="50" t="s">
        <v>64</v>
      </c>
      <c r="B16" s="16" t="s">
        <v>20</v>
      </c>
      <c r="C16" s="31" t="s">
        <v>21</v>
      </c>
      <c r="D16" s="31" t="s">
        <v>22</v>
      </c>
      <c r="E16" s="31" t="s">
        <v>23</v>
      </c>
      <c r="F16" s="31" t="s">
        <v>24</v>
      </c>
      <c r="G16" s="31" t="s">
        <v>25</v>
      </c>
      <c r="H16" s="31" t="s">
        <v>26</v>
      </c>
      <c r="I16" s="31" t="s">
        <v>27</v>
      </c>
      <c r="J16" s="31" t="s">
        <v>28</v>
      </c>
      <c r="K16" s="31" t="s">
        <v>29</v>
      </c>
      <c r="L16" s="31" t="s">
        <v>30</v>
      </c>
      <c r="M16" s="31" t="s">
        <v>31</v>
      </c>
      <c r="N16" s="22" t="s">
        <v>53</v>
      </c>
      <c r="P16" s="51" t="s">
        <v>64</v>
      </c>
      <c r="Q16" s="17" t="s">
        <v>20</v>
      </c>
      <c r="R16" s="17" t="s">
        <v>21</v>
      </c>
      <c r="S16" s="17" t="s">
        <v>22</v>
      </c>
      <c r="T16" s="17" t="s">
        <v>23</v>
      </c>
      <c r="U16" s="17" t="s">
        <v>24</v>
      </c>
      <c r="V16" s="17" t="s">
        <v>25</v>
      </c>
      <c r="W16" s="17" t="s">
        <v>26</v>
      </c>
      <c r="X16" s="17" t="s">
        <v>27</v>
      </c>
      <c r="Y16" s="17" t="s">
        <v>28</v>
      </c>
      <c r="Z16" s="17" t="s">
        <v>29</v>
      </c>
      <c r="AA16" s="17" t="s">
        <v>30</v>
      </c>
      <c r="AB16" s="17" t="s">
        <v>31</v>
      </c>
      <c r="AC16" s="23" t="s">
        <v>53</v>
      </c>
    </row>
    <row r="17" spans="1:29" x14ac:dyDescent="0.2">
      <c r="A17" s="24" t="s">
        <v>63</v>
      </c>
      <c r="B17" s="24">
        <v>17</v>
      </c>
      <c r="C17" s="17">
        <v>17</v>
      </c>
      <c r="D17" s="17">
        <v>17</v>
      </c>
      <c r="E17" s="17">
        <v>17</v>
      </c>
      <c r="F17" s="17">
        <v>16</v>
      </c>
      <c r="G17" s="17">
        <v>16</v>
      </c>
      <c r="H17" s="17">
        <v>16</v>
      </c>
      <c r="I17" s="17">
        <v>16</v>
      </c>
      <c r="J17" s="17">
        <v>17</v>
      </c>
      <c r="K17" s="17">
        <v>17</v>
      </c>
      <c r="L17" s="17">
        <v>17</v>
      </c>
      <c r="M17" s="17">
        <v>17</v>
      </c>
      <c r="N17" s="23">
        <f>SUM(B17:M17)</f>
        <v>200</v>
      </c>
      <c r="P17" s="23" t="s">
        <v>63</v>
      </c>
      <c r="Q17" s="88">
        <v>25</v>
      </c>
      <c r="R17" s="89">
        <v>25</v>
      </c>
      <c r="S17" s="89">
        <v>25</v>
      </c>
      <c r="T17" s="89">
        <v>25</v>
      </c>
      <c r="U17" s="89">
        <v>25</v>
      </c>
      <c r="V17" s="89">
        <v>25</v>
      </c>
      <c r="W17" s="89">
        <v>25</v>
      </c>
      <c r="X17" s="89">
        <v>25</v>
      </c>
      <c r="Y17" s="89">
        <v>25</v>
      </c>
      <c r="Z17" s="89">
        <v>25</v>
      </c>
      <c r="AA17" s="89">
        <v>25</v>
      </c>
      <c r="AB17" s="90">
        <v>25</v>
      </c>
      <c r="AC17" s="91">
        <f>SUM(Q17:AB17)</f>
        <v>300</v>
      </c>
    </row>
    <row r="18" spans="1:29" x14ac:dyDescent="0.2">
      <c r="A18" s="7" t="s">
        <v>65</v>
      </c>
      <c r="B18" s="9">
        <v>209</v>
      </c>
      <c r="C18" s="10">
        <v>194</v>
      </c>
      <c r="D18" s="10">
        <v>163</v>
      </c>
      <c r="E18" s="10">
        <v>87</v>
      </c>
      <c r="F18" s="10">
        <v>43</v>
      </c>
      <c r="G18" s="10">
        <v>22</v>
      </c>
      <c r="H18" s="10">
        <v>10</v>
      </c>
      <c r="I18" s="10">
        <v>13</v>
      </c>
      <c r="J18" s="10">
        <v>39</v>
      </c>
      <c r="K18" s="10">
        <v>93</v>
      </c>
      <c r="L18" s="10">
        <v>134</v>
      </c>
      <c r="M18" s="10">
        <v>193</v>
      </c>
      <c r="N18" s="21">
        <f>SUM(B18:M18)</f>
        <v>1200</v>
      </c>
      <c r="P18" s="20" t="s">
        <v>65</v>
      </c>
      <c r="Q18" s="92">
        <v>314</v>
      </c>
      <c r="R18" s="93">
        <f t="shared" ref="R18" si="0">C18*1.5</f>
        <v>291</v>
      </c>
      <c r="S18" s="93">
        <v>244</v>
      </c>
      <c r="T18" s="93">
        <v>131</v>
      </c>
      <c r="U18" s="93">
        <v>65</v>
      </c>
      <c r="V18" s="93">
        <f t="shared" ref="V18" si="1">G18*1.5</f>
        <v>33</v>
      </c>
      <c r="W18" s="93">
        <f t="shared" ref="W18" si="2">H18*1.5</f>
        <v>15</v>
      </c>
      <c r="X18" s="93">
        <v>20</v>
      </c>
      <c r="Y18" s="93">
        <v>57</v>
      </c>
      <c r="Z18" s="93">
        <v>140</v>
      </c>
      <c r="AA18" s="93">
        <f t="shared" ref="AA18" si="3">L18*1.5</f>
        <v>201</v>
      </c>
      <c r="AB18" s="94">
        <v>289</v>
      </c>
      <c r="AC18" s="95">
        <f>SUM(Q18:AB18)</f>
        <v>1800</v>
      </c>
    </row>
    <row r="19" spans="1:29" x14ac:dyDescent="0.2">
      <c r="A19" s="30" t="s">
        <v>41</v>
      </c>
      <c r="B19" s="16">
        <f>SUM(B17:B18)</f>
        <v>226</v>
      </c>
      <c r="C19" s="31">
        <f t="shared" ref="C19:N19" si="4">SUM(C17:C18)</f>
        <v>211</v>
      </c>
      <c r="D19" s="31">
        <f t="shared" si="4"/>
        <v>180</v>
      </c>
      <c r="E19" s="31">
        <f t="shared" si="4"/>
        <v>104</v>
      </c>
      <c r="F19" s="31">
        <f t="shared" si="4"/>
        <v>59</v>
      </c>
      <c r="G19" s="31">
        <f t="shared" si="4"/>
        <v>38</v>
      </c>
      <c r="H19" s="31">
        <f t="shared" si="4"/>
        <v>26</v>
      </c>
      <c r="I19" s="31">
        <f t="shared" si="4"/>
        <v>29</v>
      </c>
      <c r="J19" s="31">
        <f t="shared" si="4"/>
        <v>56</v>
      </c>
      <c r="K19" s="31">
        <f t="shared" si="4"/>
        <v>110</v>
      </c>
      <c r="L19" s="31">
        <f t="shared" si="4"/>
        <v>151</v>
      </c>
      <c r="M19" s="31">
        <f t="shared" si="4"/>
        <v>210</v>
      </c>
      <c r="N19" s="22">
        <f t="shared" si="4"/>
        <v>1400</v>
      </c>
      <c r="P19" s="53" t="s">
        <v>41</v>
      </c>
      <c r="Q19" s="96">
        <f>SUM(Q17:Q18)</f>
        <v>339</v>
      </c>
      <c r="R19" s="97">
        <f t="shared" ref="R19" si="5">SUM(R17:R18)</f>
        <v>316</v>
      </c>
      <c r="S19" s="97">
        <f t="shared" ref="S19" si="6">SUM(S17:S18)</f>
        <v>269</v>
      </c>
      <c r="T19" s="97">
        <f t="shared" ref="T19" si="7">SUM(T17:T18)</f>
        <v>156</v>
      </c>
      <c r="U19" s="97">
        <f t="shared" ref="U19" si="8">SUM(U17:U18)</f>
        <v>90</v>
      </c>
      <c r="V19" s="97">
        <f t="shared" ref="V19" si="9">SUM(V17:V18)</f>
        <v>58</v>
      </c>
      <c r="W19" s="97">
        <f t="shared" ref="W19" si="10">SUM(W17:W18)</f>
        <v>40</v>
      </c>
      <c r="X19" s="97">
        <f t="shared" ref="X19" si="11">SUM(X17:X18)</f>
        <v>45</v>
      </c>
      <c r="Y19" s="97">
        <f t="shared" ref="Y19" si="12">SUM(Y17:Y18)</f>
        <v>82</v>
      </c>
      <c r="Z19" s="97">
        <f t="shared" ref="Z19" si="13">SUM(Z17:Z18)</f>
        <v>165</v>
      </c>
      <c r="AA19" s="97">
        <f t="shared" ref="AA19" si="14">SUM(AA17:AA18)</f>
        <v>226</v>
      </c>
      <c r="AB19" s="97">
        <f t="shared" ref="AB19" si="15">SUM(AB17:AB18)</f>
        <v>314</v>
      </c>
      <c r="AC19" s="98">
        <f t="shared" ref="AC19" si="16">SUM(AC17:AC18)</f>
        <v>2100</v>
      </c>
    </row>
    <row r="21" spans="1:29" x14ac:dyDescent="0.2">
      <c r="A21" s="53" t="s">
        <v>69</v>
      </c>
      <c r="B21" s="17" t="s">
        <v>20</v>
      </c>
      <c r="C21" s="17" t="s">
        <v>21</v>
      </c>
      <c r="D21" s="17" t="s">
        <v>22</v>
      </c>
      <c r="E21" s="17" t="s">
        <v>23</v>
      </c>
      <c r="F21" s="17" t="s">
        <v>24</v>
      </c>
      <c r="G21" s="17" t="s">
        <v>25</v>
      </c>
      <c r="H21" s="17" t="s">
        <v>26</v>
      </c>
      <c r="I21" s="17" t="s">
        <v>27</v>
      </c>
      <c r="J21" s="17" t="s">
        <v>28</v>
      </c>
      <c r="K21" s="17" t="s">
        <v>29</v>
      </c>
      <c r="L21" s="17" t="s">
        <v>30</v>
      </c>
      <c r="M21" s="17" t="s">
        <v>31</v>
      </c>
      <c r="N21" s="23" t="s">
        <v>53</v>
      </c>
      <c r="P21" s="53" t="s">
        <v>69</v>
      </c>
      <c r="Q21" s="17" t="s">
        <v>20</v>
      </c>
      <c r="R21" s="17" t="s">
        <v>21</v>
      </c>
      <c r="S21" s="17" t="s">
        <v>22</v>
      </c>
      <c r="T21" s="17" t="s">
        <v>23</v>
      </c>
      <c r="U21" s="17" t="s">
        <v>24</v>
      </c>
      <c r="V21" s="17" t="s">
        <v>25</v>
      </c>
      <c r="W21" s="17" t="s">
        <v>26</v>
      </c>
      <c r="X21" s="17" t="s">
        <v>27</v>
      </c>
      <c r="Y21" s="17" t="s">
        <v>28</v>
      </c>
      <c r="Z21" s="17" t="s">
        <v>29</v>
      </c>
      <c r="AA21" s="17" t="s">
        <v>30</v>
      </c>
      <c r="AB21" s="17" t="s">
        <v>31</v>
      </c>
      <c r="AC21" s="23" t="s">
        <v>53</v>
      </c>
    </row>
    <row r="22" spans="1:29" x14ac:dyDescent="0.2">
      <c r="A22" s="54" t="s">
        <v>66</v>
      </c>
      <c r="B22" s="17">
        <v>17</v>
      </c>
      <c r="C22" s="17">
        <v>17</v>
      </c>
      <c r="D22" s="17">
        <v>17</v>
      </c>
      <c r="E22" s="17">
        <v>17</v>
      </c>
      <c r="F22" s="17">
        <f>F17+F18</f>
        <v>59</v>
      </c>
      <c r="G22" s="17">
        <f t="shared" ref="G22:J22" si="17">G17+G18</f>
        <v>38</v>
      </c>
      <c r="H22" s="17">
        <f t="shared" si="17"/>
        <v>26</v>
      </c>
      <c r="I22" s="17">
        <f t="shared" si="17"/>
        <v>29</v>
      </c>
      <c r="J22" s="17">
        <f t="shared" si="17"/>
        <v>56</v>
      </c>
      <c r="K22" s="17">
        <v>17</v>
      </c>
      <c r="L22" s="17">
        <v>17</v>
      </c>
      <c r="M22" s="17">
        <v>17</v>
      </c>
      <c r="N22" s="23">
        <f>SUM(B22:M22)</f>
        <v>327</v>
      </c>
      <c r="P22" s="54" t="s">
        <v>66</v>
      </c>
      <c r="Q22" s="89">
        <f>Q17</f>
        <v>25</v>
      </c>
      <c r="R22" s="89">
        <f t="shared" ref="R22:AB22" si="18">R17</f>
        <v>25</v>
      </c>
      <c r="S22" s="89">
        <f t="shared" si="18"/>
        <v>25</v>
      </c>
      <c r="T22" s="89">
        <f t="shared" si="18"/>
        <v>25</v>
      </c>
      <c r="U22" s="89">
        <f>U19</f>
        <v>90</v>
      </c>
      <c r="V22" s="89">
        <f t="shared" ref="V22:Y22" si="19">V19</f>
        <v>58</v>
      </c>
      <c r="W22" s="89">
        <f t="shared" si="19"/>
        <v>40</v>
      </c>
      <c r="X22" s="89">
        <f t="shared" si="19"/>
        <v>45</v>
      </c>
      <c r="Y22" s="89">
        <f t="shared" si="19"/>
        <v>82</v>
      </c>
      <c r="Z22" s="89">
        <f t="shared" si="18"/>
        <v>25</v>
      </c>
      <c r="AA22" s="89">
        <f t="shared" si="18"/>
        <v>25</v>
      </c>
      <c r="AB22" s="89">
        <f t="shared" si="18"/>
        <v>25</v>
      </c>
      <c r="AC22" s="91">
        <f>SUM(Q22:AB22)</f>
        <v>490</v>
      </c>
    </row>
    <row r="23" spans="1:29" x14ac:dyDescent="0.2">
      <c r="A23" s="21" t="s">
        <v>67</v>
      </c>
      <c r="B23" s="10">
        <v>0</v>
      </c>
      <c r="C23" s="10">
        <v>0</v>
      </c>
      <c r="D23" s="10">
        <v>0</v>
      </c>
      <c r="E23" s="10">
        <v>0</v>
      </c>
      <c r="F23" s="10">
        <v>294</v>
      </c>
      <c r="G23" s="10">
        <v>588</v>
      </c>
      <c r="H23" s="10">
        <v>588</v>
      </c>
      <c r="I23" s="10">
        <v>469</v>
      </c>
      <c r="J23" s="10">
        <v>294</v>
      </c>
      <c r="K23" s="10">
        <v>0</v>
      </c>
      <c r="L23" s="10">
        <v>0</v>
      </c>
      <c r="M23" s="10">
        <v>0</v>
      </c>
      <c r="N23" s="23">
        <f>SUM(B23:M23)</f>
        <v>2233</v>
      </c>
      <c r="P23" s="21" t="s">
        <v>67</v>
      </c>
      <c r="Q23" s="10">
        <v>0</v>
      </c>
      <c r="R23" s="10">
        <v>0</v>
      </c>
      <c r="S23" s="10">
        <v>0</v>
      </c>
      <c r="T23" s="10">
        <v>0</v>
      </c>
      <c r="U23" s="10">
        <v>430</v>
      </c>
      <c r="V23" s="10">
        <v>790</v>
      </c>
      <c r="W23" s="10">
        <v>790</v>
      </c>
      <c r="X23" s="10">
        <v>570</v>
      </c>
      <c r="Y23" s="10">
        <v>405</v>
      </c>
      <c r="Z23" s="10">
        <v>0</v>
      </c>
      <c r="AA23" s="10">
        <v>0</v>
      </c>
      <c r="AB23" s="10">
        <v>0</v>
      </c>
      <c r="AC23" s="91">
        <f>SUM(Q23:AB23)</f>
        <v>2985</v>
      </c>
    </row>
    <row r="24" spans="1:29" x14ac:dyDescent="0.2">
      <c r="A24" s="52" t="s">
        <v>68</v>
      </c>
      <c r="B24" s="10">
        <f>SUM(B22:B23)</f>
        <v>17</v>
      </c>
      <c r="C24" s="10">
        <f t="shared" ref="C24:M24" si="20">SUM(C22:C23)</f>
        <v>17</v>
      </c>
      <c r="D24" s="10">
        <f t="shared" si="20"/>
        <v>17</v>
      </c>
      <c r="E24" s="10">
        <f t="shared" si="20"/>
        <v>17</v>
      </c>
      <c r="F24" s="10">
        <f t="shared" si="20"/>
        <v>353</v>
      </c>
      <c r="G24" s="10">
        <f t="shared" si="20"/>
        <v>626</v>
      </c>
      <c r="H24" s="10">
        <f t="shared" si="20"/>
        <v>614</v>
      </c>
      <c r="I24" s="10">
        <f t="shared" si="20"/>
        <v>498</v>
      </c>
      <c r="J24" s="10">
        <f t="shared" si="20"/>
        <v>350</v>
      </c>
      <c r="K24" s="10">
        <f t="shared" si="20"/>
        <v>17</v>
      </c>
      <c r="L24" s="10">
        <f t="shared" si="20"/>
        <v>17</v>
      </c>
      <c r="M24" s="10">
        <f t="shared" si="20"/>
        <v>17</v>
      </c>
      <c r="N24" s="23">
        <f>SUM(B24:M24)</f>
        <v>2560</v>
      </c>
      <c r="P24" s="52" t="s">
        <v>68</v>
      </c>
      <c r="Q24" s="93">
        <f>SUM(Q22:Q23)</f>
        <v>25</v>
      </c>
      <c r="R24" s="93">
        <f t="shared" ref="R24:AB24" si="21">SUM(R22:R23)</f>
        <v>25</v>
      </c>
      <c r="S24" s="93">
        <f t="shared" si="21"/>
        <v>25</v>
      </c>
      <c r="T24" s="93">
        <f t="shared" si="21"/>
        <v>25</v>
      </c>
      <c r="U24" s="93">
        <f t="shared" si="21"/>
        <v>520</v>
      </c>
      <c r="V24" s="93">
        <f t="shared" si="21"/>
        <v>848</v>
      </c>
      <c r="W24" s="93">
        <f t="shared" si="21"/>
        <v>830</v>
      </c>
      <c r="X24" s="93">
        <f t="shared" si="21"/>
        <v>615</v>
      </c>
      <c r="Y24" s="93">
        <f t="shared" si="21"/>
        <v>487</v>
      </c>
      <c r="Z24" s="93">
        <f t="shared" si="21"/>
        <v>25</v>
      </c>
      <c r="AA24" s="93">
        <f t="shared" si="21"/>
        <v>25</v>
      </c>
      <c r="AB24" s="93">
        <f t="shared" si="21"/>
        <v>25</v>
      </c>
      <c r="AC24" s="95">
        <f>SUM(Q24:AB24)</f>
        <v>3475</v>
      </c>
    </row>
    <row r="26" spans="1:29" x14ac:dyDescent="0.2">
      <c r="A26" s="19" t="s">
        <v>73</v>
      </c>
      <c r="B26" s="17" t="s">
        <v>20</v>
      </c>
      <c r="C26" s="17" t="s">
        <v>21</v>
      </c>
      <c r="D26" s="17" t="s">
        <v>22</v>
      </c>
      <c r="E26" s="17" t="s">
        <v>23</v>
      </c>
      <c r="F26" s="17" t="s">
        <v>24</v>
      </c>
      <c r="G26" s="17" t="s">
        <v>25</v>
      </c>
      <c r="H26" s="17" t="s">
        <v>26</v>
      </c>
      <c r="I26" s="17" t="s">
        <v>27</v>
      </c>
      <c r="J26" s="17" t="s">
        <v>28</v>
      </c>
      <c r="K26" s="17" t="s">
        <v>29</v>
      </c>
      <c r="L26" s="17" t="s">
        <v>30</v>
      </c>
      <c r="M26" s="17" t="s">
        <v>31</v>
      </c>
      <c r="N26" s="23" t="s">
        <v>53</v>
      </c>
      <c r="P26" s="19" t="s">
        <v>73</v>
      </c>
      <c r="Q26" s="17" t="s">
        <v>20</v>
      </c>
      <c r="R26" s="17" t="s">
        <v>21</v>
      </c>
      <c r="S26" s="17" t="s">
        <v>22</v>
      </c>
      <c r="T26" s="17" t="s">
        <v>23</v>
      </c>
      <c r="U26" s="17" t="s">
        <v>24</v>
      </c>
      <c r="V26" s="17" t="s">
        <v>25</v>
      </c>
      <c r="W26" s="17" t="s">
        <v>26</v>
      </c>
      <c r="X26" s="17" t="s">
        <v>27</v>
      </c>
      <c r="Y26" s="17" t="s">
        <v>28</v>
      </c>
      <c r="Z26" s="17" t="s">
        <v>29</v>
      </c>
      <c r="AA26" s="17" t="s">
        <v>30</v>
      </c>
      <c r="AB26" s="17" t="s">
        <v>31</v>
      </c>
      <c r="AC26" s="23" t="s">
        <v>53</v>
      </c>
    </row>
    <row r="27" spans="1:29" x14ac:dyDescent="0.2">
      <c r="A27" s="54" t="s">
        <v>98</v>
      </c>
      <c r="B27" s="17">
        <f>B23</f>
        <v>0</v>
      </c>
      <c r="C27" s="17">
        <f t="shared" ref="C27:M27" si="22">C23</f>
        <v>0</v>
      </c>
      <c r="D27" s="17">
        <f t="shared" si="22"/>
        <v>0</v>
      </c>
      <c r="E27" s="17">
        <f t="shared" si="22"/>
        <v>0</v>
      </c>
      <c r="F27" s="17">
        <f t="shared" si="22"/>
        <v>294</v>
      </c>
      <c r="G27" s="17">
        <f t="shared" si="22"/>
        <v>588</v>
      </c>
      <c r="H27" s="17">
        <f t="shared" si="22"/>
        <v>588</v>
      </c>
      <c r="I27" s="17">
        <f t="shared" si="22"/>
        <v>469</v>
      </c>
      <c r="J27" s="17">
        <f t="shared" si="22"/>
        <v>294</v>
      </c>
      <c r="K27" s="17">
        <f t="shared" si="22"/>
        <v>0</v>
      </c>
      <c r="L27" s="17">
        <f t="shared" si="22"/>
        <v>0</v>
      </c>
      <c r="M27" s="17">
        <f t="shared" si="22"/>
        <v>0</v>
      </c>
      <c r="N27" s="23">
        <f>SUM(B27:M27)</f>
        <v>2233</v>
      </c>
      <c r="P27" s="54" t="s">
        <v>70</v>
      </c>
      <c r="Q27" s="17">
        <f>Q23</f>
        <v>0</v>
      </c>
      <c r="R27" s="17">
        <f t="shared" ref="R27:AB27" si="23">R23</f>
        <v>0</v>
      </c>
      <c r="S27" s="17">
        <f t="shared" si="23"/>
        <v>0</v>
      </c>
      <c r="T27" s="17">
        <f t="shared" si="23"/>
        <v>0</v>
      </c>
      <c r="U27" s="17">
        <v>430</v>
      </c>
      <c r="V27" s="17">
        <v>790</v>
      </c>
      <c r="W27" s="17">
        <v>790</v>
      </c>
      <c r="X27" s="17">
        <v>570</v>
      </c>
      <c r="Y27" s="17">
        <v>405</v>
      </c>
      <c r="Z27" s="17">
        <f t="shared" si="23"/>
        <v>0</v>
      </c>
      <c r="AA27" s="17">
        <f t="shared" si="23"/>
        <v>0</v>
      </c>
      <c r="AB27" s="17">
        <f t="shared" si="23"/>
        <v>0</v>
      </c>
      <c r="AC27" s="23">
        <f>SUM(Q27:AB27)</f>
        <v>2985</v>
      </c>
    </row>
    <row r="28" spans="1:29" x14ac:dyDescent="0.2">
      <c r="A28" s="57" t="s">
        <v>99</v>
      </c>
      <c r="B28" s="17">
        <f>B18</f>
        <v>209</v>
      </c>
      <c r="C28" s="17">
        <f t="shared" ref="C28:M28" si="24">C18</f>
        <v>194</v>
      </c>
      <c r="D28" s="17">
        <f t="shared" si="24"/>
        <v>163</v>
      </c>
      <c r="E28" s="17">
        <f t="shared" si="24"/>
        <v>87</v>
      </c>
      <c r="F28" s="17"/>
      <c r="G28" s="17"/>
      <c r="H28" s="17"/>
      <c r="I28" s="17"/>
      <c r="J28" s="17"/>
      <c r="K28" s="17">
        <f t="shared" si="24"/>
        <v>93</v>
      </c>
      <c r="L28" s="17">
        <f t="shared" si="24"/>
        <v>134</v>
      </c>
      <c r="M28" s="17">
        <f t="shared" si="24"/>
        <v>193</v>
      </c>
      <c r="N28" s="23">
        <f>SUM(B28:M28)</f>
        <v>1073</v>
      </c>
      <c r="P28" s="57" t="s">
        <v>71</v>
      </c>
      <c r="Q28" s="89">
        <f>Q18</f>
        <v>314</v>
      </c>
      <c r="R28" s="89">
        <f t="shared" ref="R28:AB28" si="25">R18</f>
        <v>291</v>
      </c>
      <c r="S28" s="89">
        <f t="shared" si="25"/>
        <v>244</v>
      </c>
      <c r="T28" s="89">
        <f t="shared" si="25"/>
        <v>131</v>
      </c>
      <c r="U28" s="89"/>
      <c r="V28" s="89"/>
      <c r="W28" s="89"/>
      <c r="X28" s="89"/>
      <c r="Y28" s="89"/>
      <c r="Z28" s="89">
        <f t="shared" si="25"/>
        <v>140</v>
      </c>
      <c r="AA28" s="89">
        <f t="shared" si="25"/>
        <v>201</v>
      </c>
      <c r="AB28" s="89">
        <f t="shared" si="25"/>
        <v>289</v>
      </c>
      <c r="AC28" s="23">
        <f t="shared" ref="AC28" si="26">SUM(Q28:AB28)</f>
        <v>1610</v>
      </c>
    </row>
    <row r="29" spans="1:29" x14ac:dyDescent="0.2">
      <c r="A29" s="56" t="s">
        <v>72</v>
      </c>
      <c r="B29" s="106" t="s">
        <v>104</v>
      </c>
      <c r="C29" s="106" t="s">
        <v>104</v>
      </c>
      <c r="D29" s="106" t="s">
        <v>104</v>
      </c>
      <c r="E29" s="106" t="s">
        <v>104</v>
      </c>
      <c r="F29" s="106" t="s">
        <v>104</v>
      </c>
      <c r="G29" s="106" t="s">
        <v>104</v>
      </c>
      <c r="H29" s="106" t="s">
        <v>104</v>
      </c>
      <c r="I29" s="106" t="s">
        <v>104</v>
      </c>
      <c r="J29" s="106" t="s">
        <v>104</v>
      </c>
      <c r="K29" s="106" t="s">
        <v>104</v>
      </c>
      <c r="L29" s="106" t="s">
        <v>104</v>
      </c>
      <c r="M29" s="106" t="s">
        <v>104</v>
      </c>
      <c r="N29" s="21">
        <f>N27-N28</f>
        <v>1160</v>
      </c>
      <c r="P29" s="56" t="s">
        <v>72</v>
      </c>
      <c r="Q29" s="106" t="s">
        <v>104</v>
      </c>
      <c r="R29" s="106" t="s">
        <v>104</v>
      </c>
      <c r="S29" s="106" t="s">
        <v>104</v>
      </c>
      <c r="T29" s="106" t="s">
        <v>104</v>
      </c>
      <c r="U29" s="106" t="s">
        <v>104</v>
      </c>
      <c r="V29" s="106" t="s">
        <v>104</v>
      </c>
      <c r="W29" s="106" t="s">
        <v>104</v>
      </c>
      <c r="X29" s="106" t="s">
        <v>104</v>
      </c>
      <c r="Y29" s="106" t="s">
        <v>104</v>
      </c>
      <c r="Z29" s="106" t="s">
        <v>104</v>
      </c>
      <c r="AA29" s="106" t="s">
        <v>104</v>
      </c>
      <c r="AB29" s="106" t="s">
        <v>104</v>
      </c>
      <c r="AC29" s="22">
        <f>AC27-AC28</f>
        <v>1375</v>
      </c>
    </row>
    <row r="32" spans="1:29" x14ac:dyDescent="0.2">
      <c r="A32" s="59" t="str">
        <f>INDATA!B48</f>
        <v>Äldre energirenoverad kontorsbyggnad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</row>
    <row r="33" spans="1:29" x14ac:dyDescent="0.2">
      <c r="A33" s="277">
        <f>N37</f>
        <v>2503.6300000000006</v>
      </c>
      <c r="B33" s="60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0"/>
      <c r="O33" s="60"/>
      <c r="P33" s="277">
        <f>AC37</f>
        <v>3755.4450000000006</v>
      </c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</row>
    <row r="34" spans="1:29" x14ac:dyDescent="0.2">
      <c r="A34" s="51" t="s">
        <v>64</v>
      </c>
      <c r="B34" s="16" t="s">
        <v>20</v>
      </c>
      <c r="C34" s="31" t="s">
        <v>21</v>
      </c>
      <c r="D34" s="31" t="s">
        <v>22</v>
      </c>
      <c r="E34" s="31" t="s">
        <v>23</v>
      </c>
      <c r="F34" s="31" t="s">
        <v>24</v>
      </c>
      <c r="G34" s="31" t="s">
        <v>25</v>
      </c>
      <c r="H34" s="31" t="s">
        <v>26</v>
      </c>
      <c r="I34" s="31" t="s">
        <v>27</v>
      </c>
      <c r="J34" s="31" t="s">
        <v>28</v>
      </c>
      <c r="K34" s="31" t="s">
        <v>29</v>
      </c>
      <c r="L34" s="31" t="s">
        <v>30</v>
      </c>
      <c r="M34" s="31" t="s">
        <v>31</v>
      </c>
      <c r="N34" s="22" t="s">
        <v>53</v>
      </c>
      <c r="P34" s="16" t="s">
        <v>64</v>
      </c>
      <c r="Q34" s="31" t="s">
        <v>20</v>
      </c>
      <c r="R34" s="31" t="s">
        <v>21</v>
      </c>
      <c r="S34" s="31" t="s">
        <v>22</v>
      </c>
      <c r="T34" s="31" t="s">
        <v>23</v>
      </c>
      <c r="U34" s="31" t="s">
        <v>24</v>
      </c>
      <c r="V34" s="31" t="s">
        <v>25</v>
      </c>
      <c r="W34" s="31" t="s">
        <v>26</v>
      </c>
      <c r="X34" s="31" t="s">
        <v>27</v>
      </c>
      <c r="Y34" s="31" t="s">
        <v>28</v>
      </c>
      <c r="Z34" s="31" t="s">
        <v>29</v>
      </c>
      <c r="AA34" s="31" t="s">
        <v>30</v>
      </c>
      <c r="AB34" s="22" t="s">
        <v>31</v>
      </c>
      <c r="AC34" s="16" t="s">
        <v>53</v>
      </c>
    </row>
    <row r="35" spans="1:29" x14ac:dyDescent="0.2">
      <c r="A35" s="23" t="s">
        <v>63</v>
      </c>
      <c r="B35" s="88">
        <v>20</v>
      </c>
      <c r="C35" s="89">
        <v>20</v>
      </c>
      <c r="D35" s="89">
        <v>20</v>
      </c>
      <c r="E35" s="89">
        <v>20</v>
      </c>
      <c r="F35" s="89">
        <v>20</v>
      </c>
      <c r="G35" s="89">
        <v>20</v>
      </c>
      <c r="H35" s="89">
        <v>20</v>
      </c>
      <c r="I35" s="89">
        <v>20</v>
      </c>
      <c r="J35" s="89">
        <v>20</v>
      </c>
      <c r="K35" s="89">
        <v>20</v>
      </c>
      <c r="L35" s="89">
        <v>20</v>
      </c>
      <c r="M35" s="89">
        <v>20</v>
      </c>
      <c r="N35" s="91">
        <f>SUM(B35:M35)</f>
        <v>240</v>
      </c>
      <c r="O35" s="255"/>
      <c r="P35" s="88" t="s">
        <v>63</v>
      </c>
      <c r="Q35" s="89">
        <v>30</v>
      </c>
      <c r="R35" s="89">
        <v>30</v>
      </c>
      <c r="S35" s="89">
        <v>30</v>
      </c>
      <c r="T35" s="89">
        <v>30</v>
      </c>
      <c r="U35" s="89">
        <v>30</v>
      </c>
      <c r="V35" s="89">
        <v>30</v>
      </c>
      <c r="W35" s="89">
        <v>30</v>
      </c>
      <c r="X35" s="89">
        <v>30</v>
      </c>
      <c r="Y35" s="89">
        <v>30</v>
      </c>
      <c r="Z35" s="89">
        <v>30</v>
      </c>
      <c r="AA35" s="89">
        <v>30</v>
      </c>
      <c r="AB35" s="91">
        <v>30</v>
      </c>
      <c r="AC35" s="88">
        <f>SUM(Q35:AB35)</f>
        <v>360</v>
      </c>
    </row>
    <row r="36" spans="1:29" x14ac:dyDescent="0.2">
      <c r="A36" s="20" t="s">
        <v>65</v>
      </c>
      <c r="B36" s="92">
        <v>342.65825000000001</v>
      </c>
      <c r="C36" s="93">
        <v>305.4602000000001</v>
      </c>
      <c r="D36" s="93">
        <v>340.86950000000024</v>
      </c>
      <c r="E36" s="93">
        <v>208.88625000000022</v>
      </c>
      <c r="F36" s="93">
        <v>77</v>
      </c>
      <c r="G36" s="93">
        <v>13</v>
      </c>
      <c r="H36" s="93">
        <v>0</v>
      </c>
      <c r="I36" s="93">
        <v>0</v>
      </c>
      <c r="J36" s="93">
        <v>69</v>
      </c>
      <c r="K36" s="93">
        <v>195.71839999999992</v>
      </c>
      <c r="L36" s="93">
        <v>304.16434999999973</v>
      </c>
      <c r="M36" s="93">
        <v>406.87304999999998</v>
      </c>
      <c r="N36" s="95">
        <f>SUM(B36:M36)</f>
        <v>2263.6300000000006</v>
      </c>
      <c r="O36" s="255"/>
      <c r="P36" s="92" t="s">
        <v>65</v>
      </c>
      <c r="Q36" s="93">
        <v>513.98737500000004</v>
      </c>
      <c r="R36" s="93">
        <v>458.19030000000015</v>
      </c>
      <c r="S36" s="93">
        <v>511.30425000000037</v>
      </c>
      <c r="T36" s="93">
        <v>313.32937500000031</v>
      </c>
      <c r="U36" s="93">
        <v>115.5</v>
      </c>
      <c r="V36" s="93">
        <v>19.5</v>
      </c>
      <c r="W36" s="93">
        <v>0</v>
      </c>
      <c r="X36" s="93">
        <v>0</v>
      </c>
      <c r="Y36" s="93">
        <v>103.5</v>
      </c>
      <c r="Z36" s="93">
        <v>293.57759999999985</v>
      </c>
      <c r="AA36" s="93">
        <v>456.24652499999956</v>
      </c>
      <c r="AB36" s="95">
        <v>610.309575</v>
      </c>
      <c r="AC36" s="92">
        <f>SUM(Q36:AB36)</f>
        <v>3395.4450000000006</v>
      </c>
    </row>
    <row r="37" spans="1:29" x14ac:dyDescent="0.2">
      <c r="A37" s="53" t="s">
        <v>41</v>
      </c>
      <c r="B37" s="96">
        <f>SUM(B35:B36)</f>
        <v>362.65825000000001</v>
      </c>
      <c r="C37" s="97">
        <f t="shared" ref="C37:N37" si="27">SUM(C35:C36)</f>
        <v>325.4602000000001</v>
      </c>
      <c r="D37" s="97">
        <f t="shared" si="27"/>
        <v>360.86950000000024</v>
      </c>
      <c r="E37" s="97">
        <f t="shared" si="27"/>
        <v>228.88625000000022</v>
      </c>
      <c r="F37" s="97">
        <f t="shared" si="27"/>
        <v>97</v>
      </c>
      <c r="G37" s="97">
        <f t="shared" si="27"/>
        <v>33</v>
      </c>
      <c r="H37" s="97">
        <f t="shared" si="27"/>
        <v>20</v>
      </c>
      <c r="I37" s="97">
        <f t="shared" si="27"/>
        <v>20</v>
      </c>
      <c r="J37" s="97">
        <f t="shared" si="27"/>
        <v>89</v>
      </c>
      <c r="K37" s="97">
        <f t="shared" si="27"/>
        <v>215.71839999999992</v>
      </c>
      <c r="L37" s="97">
        <f t="shared" si="27"/>
        <v>324.16434999999973</v>
      </c>
      <c r="M37" s="97">
        <f t="shared" si="27"/>
        <v>426.87304999999998</v>
      </c>
      <c r="N37" s="98">
        <f t="shared" si="27"/>
        <v>2503.6300000000006</v>
      </c>
      <c r="O37" s="255"/>
      <c r="P37" s="96" t="s">
        <v>41</v>
      </c>
      <c r="Q37" s="97">
        <f>SUM(Q35:Q36)</f>
        <v>543.98737500000004</v>
      </c>
      <c r="R37" s="97">
        <f t="shared" ref="R37" si="28">SUM(R35:R36)</f>
        <v>488.19030000000015</v>
      </c>
      <c r="S37" s="97">
        <f t="shared" ref="S37" si="29">SUM(S35:S36)</f>
        <v>541.30425000000037</v>
      </c>
      <c r="T37" s="97">
        <f t="shared" ref="T37" si="30">SUM(T35:T36)</f>
        <v>343.32937500000031</v>
      </c>
      <c r="U37" s="97">
        <f t="shared" ref="U37" si="31">SUM(U35:U36)</f>
        <v>145.5</v>
      </c>
      <c r="V37" s="97">
        <f t="shared" ref="V37" si="32">SUM(V35:V36)</f>
        <v>49.5</v>
      </c>
      <c r="W37" s="97">
        <f t="shared" ref="W37" si="33">SUM(W35:W36)</f>
        <v>30</v>
      </c>
      <c r="X37" s="97">
        <f t="shared" ref="X37" si="34">SUM(X35:X36)</f>
        <v>30</v>
      </c>
      <c r="Y37" s="97">
        <f t="shared" ref="Y37" si="35">SUM(Y35:Y36)</f>
        <v>133.5</v>
      </c>
      <c r="Z37" s="97">
        <f t="shared" ref="Z37" si="36">SUM(Z35:Z36)</f>
        <v>323.57759999999985</v>
      </c>
      <c r="AA37" s="97">
        <f t="shared" ref="AA37" si="37">SUM(AA35:AA36)</f>
        <v>486.24652499999956</v>
      </c>
      <c r="AB37" s="98">
        <f t="shared" ref="AB37" si="38">SUM(AB35:AB36)</f>
        <v>640.309575</v>
      </c>
      <c r="AC37" s="96">
        <f t="shared" ref="AC37" si="39">SUM(AC35:AC36)</f>
        <v>3755.4450000000006</v>
      </c>
    </row>
    <row r="38" spans="1:29" x14ac:dyDescent="0.2">
      <c r="B38" s="255"/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</row>
    <row r="39" spans="1:29" x14ac:dyDescent="0.2">
      <c r="A39" s="53" t="s">
        <v>69</v>
      </c>
      <c r="B39" s="89" t="s">
        <v>20</v>
      </c>
      <c r="C39" s="89" t="s">
        <v>21</v>
      </c>
      <c r="D39" s="89" t="s">
        <v>22</v>
      </c>
      <c r="E39" s="89" t="s">
        <v>23</v>
      </c>
      <c r="F39" s="89" t="s">
        <v>24</v>
      </c>
      <c r="G39" s="89" t="s">
        <v>25</v>
      </c>
      <c r="H39" s="89" t="s">
        <v>26</v>
      </c>
      <c r="I39" s="89" t="s">
        <v>27</v>
      </c>
      <c r="J39" s="89" t="s">
        <v>28</v>
      </c>
      <c r="K39" s="89" t="s">
        <v>29</v>
      </c>
      <c r="L39" s="89" t="s">
        <v>30</v>
      </c>
      <c r="M39" s="89" t="s">
        <v>31</v>
      </c>
      <c r="N39" s="91" t="s">
        <v>53</v>
      </c>
      <c r="O39" s="255"/>
      <c r="P39" s="271" t="s">
        <v>69</v>
      </c>
      <c r="Q39" s="89" t="s">
        <v>20</v>
      </c>
      <c r="R39" s="89" t="s">
        <v>21</v>
      </c>
      <c r="S39" s="89" t="s">
        <v>22</v>
      </c>
      <c r="T39" s="89" t="s">
        <v>23</v>
      </c>
      <c r="U39" s="89" t="s">
        <v>24</v>
      </c>
      <c r="V39" s="89" t="s">
        <v>25</v>
      </c>
      <c r="W39" s="89" t="s">
        <v>26</v>
      </c>
      <c r="X39" s="89" t="s">
        <v>27</v>
      </c>
      <c r="Y39" s="89" t="s">
        <v>28</v>
      </c>
      <c r="Z39" s="89" t="s">
        <v>29</v>
      </c>
      <c r="AA39" s="89" t="s">
        <v>30</v>
      </c>
      <c r="AB39" s="89" t="s">
        <v>31</v>
      </c>
      <c r="AC39" s="91" t="s">
        <v>53</v>
      </c>
    </row>
    <row r="40" spans="1:29" x14ac:dyDescent="0.2">
      <c r="A40" s="54" t="s">
        <v>66</v>
      </c>
      <c r="B40" s="89">
        <f>B37-B46</f>
        <v>38.65825000000001</v>
      </c>
      <c r="C40" s="89">
        <f t="shared" ref="C40:M40" si="40">C37-C46</f>
        <v>39.4602000000001</v>
      </c>
      <c r="D40" s="89">
        <f t="shared" si="40"/>
        <v>57.869500000000244</v>
      </c>
      <c r="E40" s="89">
        <f t="shared" si="40"/>
        <v>19.886250000000217</v>
      </c>
      <c r="F40" s="89">
        <f t="shared" si="40"/>
        <v>97</v>
      </c>
      <c r="G40" s="89">
        <f t="shared" si="40"/>
        <v>33</v>
      </c>
      <c r="H40" s="89">
        <f t="shared" si="40"/>
        <v>20</v>
      </c>
      <c r="I40" s="89">
        <f t="shared" si="40"/>
        <v>20</v>
      </c>
      <c r="J40" s="89">
        <f t="shared" si="40"/>
        <v>89</v>
      </c>
      <c r="K40" s="89">
        <f t="shared" si="40"/>
        <v>19.718399999999917</v>
      </c>
      <c r="L40" s="89">
        <f t="shared" si="40"/>
        <v>24.164349999999729</v>
      </c>
      <c r="M40" s="89">
        <f t="shared" si="40"/>
        <v>46.873049999999978</v>
      </c>
      <c r="N40" s="91">
        <f>SUM(B40:M40)</f>
        <v>505.63000000000017</v>
      </c>
      <c r="O40" s="255"/>
      <c r="P40" s="272" t="s">
        <v>66</v>
      </c>
      <c r="Q40" s="89">
        <f>Q37-Q46</f>
        <v>56.987375000000043</v>
      </c>
      <c r="R40" s="89">
        <f t="shared" ref="R40:AB40" si="41">R37-R46</f>
        <v>57.19030000000015</v>
      </c>
      <c r="S40" s="89">
        <f t="shared" si="41"/>
        <v>86.304250000000366</v>
      </c>
      <c r="T40" s="89">
        <f t="shared" si="41"/>
        <v>33.329375000000312</v>
      </c>
      <c r="U40" s="89">
        <f t="shared" si="41"/>
        <v>145.5</v>
      </c>
      <c r="V40" s="89">
        <f t="shared" si="41"/>
        <v>49.5</v>
      </c>
      <c r="W40" s="89">
        <f t="shared" si="41"/>
        <v>30</v>
      </c>
      <c r="X40" s="89">
        <f t="shared" si="41"/>
        <v>30</v>
      </c>
      <c r="Y40" s="89">
        <f t="shared" si="41"/>
        <v>133.5</v>
      </c>
      <c r="Z40" s="89">
        <f t="shared" si="41"/>
        <v>29.577599999999848</v>
      </c>
      <c r="AA40" s="89">
        <f t="shared" si="41"/>
        <v>34.246524999999565</v>
      </c>
      <c r="AB40" s="89">
        <f t="shared" si="41"/>
        <v>73.309574999999995</v>
      </c>
      <c r="AC40" s="91">
        <f>SUM(Q40:AB40)</f>
        <v>759.44500000000028</v>
      </c>
    </row>
    <row r="41" spans="1:29" x14ac:dyDescent="0.2">
      <c r="A41" s="21" t="s">
        <v>67</v>
      </c>
      <c r="B41" s="93">
        <f>B45</f>
        <v>0</v>
      </c>
      <c r="C41" s="93">
        <f t="shared" ref="C41:M41" si="42">C45</f>
        <v>0</v>
      </c>
      <c r="D41" s="93">
        <f t="shared" si="42"/>
        <v>0</v>
      </c>
      <c r="E41" s="93">
        <f t="shared" si="42"/>
        <v>0</v>
      </c>
      <c r="F41" s="93">
        <f t="shared" si="42"/>
        <v>560</v>
      </c>
      <c r="G41" s="93">
        <f t="shared" si="42"/>
        <v>1120</v>
      </c>
      <c r="H41" s="93">
        <f t="shared" si="42"/>
        <v>1100</v>
      </c>
      <c r="I41" s="93">
        <f t="shared" si="42"/>
        <v>780</v>
      </c>
      <c r="J41" s="93">
        <f t="shared" si="42"/>
        <v>400</v>
      </c>
      <c r="K41" s="93">
        <f t="shared" si="42"/>
        <v>0</v>
      </c>
      <c r="L41" s="93">
        <f t="shared" si="42"/>
        <v>0</v>
      </c>
      <c r="M41" s="93">
        <f t="shared" si="42"/>
        <v>0</v>
      </c>
      <c r="N41" s="95">
        <f>SUM(B41:M41)</f>
        <v>3960</v>
      </c>
      <c r="O41" s="255"/>
      <c r="P41" s="95" t="s">
        <v>67</v>
      </c>
      <c r="Q41" s="93">
        <f>Q45</f>
        <v>0</v>
      </c>
      <c r="R41" s="93">
        <f t="shared" ref="R41:AB41" si="43">R45</f>
        <v>0</v>
      </c>
      <c r="S41" s="93">
        <f t="shared" si="43"/>
        <v>0</v>
      </c>
      <c r="T41" s="93">
        <f t="shared" si="43"/>
        <v>0</v>
      </c>
      <c r="U41" s="93">
        <f t="shared" si="43"/>
        <v>800</v>
      </c>
      <c r="V41" s="93">
        <f t="shared" si="43"/>
        <v>1475</v>
      </c>
      <c r="W41" s="93">
        <f t="shared" si="43"/>
        <v>1440</v>
      </c>
      <c r="X41" s="93">
        <f t="shared" si="43"/>
        <v>1000</v>
      </c>
      <c r="Y41" s="93">
        <f t="shared" si="43"/>
        <v>610</v>
      </c>
      <c r="Z41" s="93">
        <f t="shared" si="43"/>
        <v>0</v>
      </c>
      <c r="AA41" s="93">
        <f t="shared" si="43"/>
        <v>0</v>
      </c>
      <c r="AB41" s="93">
        <f t="shared" si="43"/>
        <v>0</v>
      </c>
      <c r="AC41" s="95">
        <f>SUM(Q41:AB41)</f>
        <v>5325</v>
      </c>
    </row>
    <row r="42" spans="1:29" x14ac:dyDescent="0.2">
      <c r="A42" s="52" t="s">
        <v>68</v>
      </c>
      <c r="B42" s="93">
        <f>SUM(B40:B41)</f>
        <v>38.65825000000001</v>
      </c>
      <c r="C42" s="93">
        <f t="shared" ref="C42:M42" si="44">SUM(C40:C41)</f>
        <v>39.4602000000001</v>
      </c>
      <c r="D42" s="93">
        <f t="shared" si="44"/>
        <v>57.869500000000244</v>
      </c>
      <c r="E42" s="93">
        <f t="shared" si="44"/>
        <v>19.886250000000217</v>
      </c>
      <c r="F42" s="93">
        <f t="shared" si="44"/>
        <v>657</v>
      </c>
      <c r="G42" s="93">
        <f t="shared" si="44"/>
        <v>1153</v>
      </c>
      <c r="H42" s="93">
        <f t="shared" si="44"/>
        <v>1120</v>
      </c>
      <c r="I42" s="93">
        <f t="shared" si="44"/>
        <v>800</v>
      </c>
      <c r="J42" s="93">
        <f t="shared" si="44"/>
        <v>489</v>
      </c>
      <c r="K42" s="93">
        <f t="shared" si="44"/>
        <v>19.718399999999917</v>
      </c>
      <c r="L42" s="93">
        <f t="shared" si="44"/>
        <v>24.164349999999729</v>
      </c>
      <c r="M42" s="93">
        <f t="shared" si="44"/>
        <v>46.873049999999978</v>
      </c>
      <c r="N42" s="98">
        <f t="shared" ref="N42" si="45">SUM(N40:N41)</f>
        <v>4465.63</v>
      </c>
      <c r="O42" s="255"/>
      <c r="P42" s="273" t="s">
        <v>68</v>
      </c>
      <c r="Q42" s="93">
        <f>SUM(Q40:Q41)</f>
        <v>56.987375000000043</v>
      </c>
      <c r="R42" s="93">
        <f t="shared" ref="R42" si="46">SUM(R40:R41)</f>
        <v>57.19030000000015</v>
      </c>
      <c r="S42" s="93">
        <f t="shared" ref="S42" si="47">SUM(S40:S41)</f>
        <v>86.304250000000366</v>
      </c>
      <c r="T42" s="93">
        <f t="shared" ref="T42" si="48">SUM(T40:T41)</f>
        <v>33.329375000000312</v>
      </c>
      <c r="U42" s="93">
        <f t="shared" ref="U42" si="49">SUM(U40:U41)</f>
        <v>945.5</v>
      </c>
      <c r="V42" s="93">
        <f t="shared" ref="V42" si="50">SUM(V40:V41)</f>
        <v>1524.5</v>
      </c>
      <c r="W42" s="93">
        <f t="shared" ref="W42" si="51">SUM(W40:W41)</f>
        <v>1470</v>
      </c>
      <c r="X42" s="93">
        <f t="shared" ref="X42" si="52">SUM(X40:X41)</f>
        <v>1030</v>
      </c>
      <c r="Y42" s="93">
        <f t="shared" ref="Y42" si="53">SUM(Y40:Y41)</f>
        <v>743.5</v>
      </c>
      <c r="Z42" s="93">
        <f t="shared" ref="Z42" si="54">SUM(Z40:Z41)</f>
        <v>29.577599999999848</v>
      </c>
      <c r="AA42" s="93">
        <f t="shared" ref="AA42" si="55">SUM(AA40:AA41)</f>
        <v>34.246524999999565</v>
      </c>
      <c r="AB42" s="93">
        <f t="shared" ref="AB42" si="56">SUM(AB40:AB41)</f>
        <v>73.309574999999995</v>
      </c>
      <c r="AC42" s="98">
        <f t="shared" ref="AC42" si="57">SUM(AC40:AC41)</f>
        <v>6084.4450000000006</v>
      </c>
    </row>
    <row r="43" spans="1:29" x14ac:dyDescent="0.2">
      <c r="B43" s="255"/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</row>
    <row r="44" spans="1:29" x14ac:dyDescent="0.2">
      <c r="A44" s="19" t="s">
        <v>73</v>
      </c>
      <c r="B44" s="89" t="s">
        <v>20</v>
      </c>
      <c r="C44" s="89" t="s">
        <v>21</v>
      </c>
      <c r="D44" s="89" t="s">
        <v>22</v>
      </c>
      <c r="E44" s="89" t="s">
        <v>23</v>
      </c>
      <c r="F44" s="89" t="s">
        <v>24</v>
      </c>
      <c r="G44" s="89" t="s">
        <v>25</v>
      </c>
      <c r="H44" s="89" t="s">
        <v>26</v>
      </c>
      <c r="I44" s="89" t="s">
        <v>27</v>
      </c>
      <c r="J44" s="89" t="s">
        <v>28</v>
      </c>
      <c r="K44" s="89" t="s">
        <v>29</v>
      </c>
      <c r="L44" s="89" t="s">
        <v>30</v>
      </c>
      <c r="M44" s="89" t="s">
        <v>31</v>
      </c>
      <c r="N44" s="91" t="s">
        <v>53</v>
      </c>
      <c r="O44" s="255"/>
      <c r="P44" s="274" t="s">
        <v>73</v>
      </c>
      <c r="Q44" s="89" t="s">
        <v>20</v>
      </c>
      <c r="R44" s="89" t="s">
        <v>21</v>
      </c>
      <c r="S44" s="89" t="s">
        <v>22</v>
      </c>
      <c r="T44" s="89" t="s">
        <v>23</v>
      </c>
      <c r="U44" s="89" t="s">
        <v>24</v>
      </c>
      <c r="V44" s="89" t="s">
        <v>25</v>
      </c>
      <c r="W44" s="89" t="s">
        <v>26</v>
      </c>
      <c r="X44" s="89" t="s">
        <v>27</v>
      </c>
      <c r="Y44" s="89" t="s">
        <v>28</v>
      </c>
      <c r="Z44" s="89" t="s">
        <v>29</v>
      </c>
      <c r="AA44" s="89" t="s">
        <v>30</v>
      </c>
      <c r="AB44" s="89" t="s">
        <v>31</v>
      </c>
      <c r="AC44" s="91" t="s">
        <v>53</v>
      </c>
    </row>
    <row r="45" spans="1:29" x14ac:dyDescent="0.2">
      <c r="A45" s="54" t="s">
        <v>70</v>
      </c>
      <c r="B45" s="96">
        <v>0</v>
      </c>
      <c r="C45" s="97">
        <v>0</v>
      </c>
      <c r="D45" s="97">
        <v>0</v>
      </c>
      <c r="E45" s="97">
        <v>0</v>
      </c>
      <c r="F45" s="97">
        <v>560</v>
      </c>
      <c r="G45" s="97">
        <v>1120</v>
      </c>
      <c r="H45" s="97">
        <v>1100</v>
      </c>
      <c r="I45" s="97">
        <v>780</v>
      </c>
      <c r="J45" s="97">
        <v>400</v>
      </c>
      <c r="K45" s="97">
        <v>0</v>
      </c>
      <c r="L45" s="97">
        <v>0</v>
      </c>
      <c r="M45" s="278">
        <v>0</v>
      </c>
      <c r="N45" s="91">
        <f>SUM(B45:M45)</f>
        <v>3960</v>
      </c>
      <c r="O45" s="255"/>
      <c r="P45" s="272" t="s">
        <v>70</v>
      </c>
      <c r="Q45" s="16">
        <v>0</v>
      </c>
      <c r="R45" s="31">
        <v>0</v>
      </c>
      <c r="S45" s="31">
        <v>0</v>
      </c>
      <c r="T45" s="31">
        <v>0</v>
      </c>
      <c r="U45" s="31">
        <v>800</v>
      </c>
      <c r="V45" s="31">
        <v>1475</v>
      </c>
      <c r="W45" s="31">
        <v>1440</v>
      </c>
      <c r="X45" s="31">
        <v>1000</v>
      </c>
      <c r="Y45" s="31">
        <v>610</v>
      </c>
      <c r="Z45" s="31">
        <v>0</v>
      </c>
      <c r="AA45" s="31">
        <v>0</v>
      </c>
      <c r="AB45" s="267">
        <v>0</v>
      </c>
      <c r="AC45" s="91">
        <f>SUM(Q45:AB45)</f>
        <v>5325</v>
      </c>
    </row>
    <row r="46" spans="1:29" x14ac:dyDescent="0.2">
      <c r="A46" s="57" t="s">
        <v>71</v>
      </c>
      <c r="B46" s="279">
        <v>324</v>
      </c>
      <c r="C46" s="279">
        <v>286</v>
      </c>
      <c r="D46" s="279">
        <v>303</v>
      </c>
      <c r="E46" s="279">
        <v>209</v>
      </c>
      <c r="F46" s="279">
        <v>0</v>
      </c>
      <c r="G46" s="279">
        <v>0</v>
      </c>
      <c r="H46" s="279">
        <v>0</v>
      </c>
      <c r="I46" s="279">
        <v>0</v>
      </c>
      <c r="J46" s="279">
        <v>0</v>
      </c>
      <c r="K46" s="279">
        <v>196</v>
      </c>
      <c r="L46" s="279">
        <v>300</v>
      </c>
      <c r="M46" s="279">
        <v>380</v>
      </c>
      <c r="N46" s="91">
        <f>SUM(B46:M46)</f>
        <v>1998</v>
      </c>
      <c r="O46" s="255"/>
      <c r="P46" s="275" t="s">
        <v>71</v>
      </c>
      <c r="Q46" s="280">
        <v>487</v>
      </c>
      <c r="R46" s="280">
        <v>431</v>
      </c>
      <c r="S46" s="280">
        <v>455</v>
      </c>
      <c r="T46" s="280">
        <v>310</v>
      </c>
      <c r="U46" s="280">
        <v>0</v>
      </c>
      <c r="V46" s="280">
        <v>0</v>
      </c>
      <c r="W46" s="280">
        <v>0</v>
      </c>
      <c r="X46" s="280">
        <v>0</v>
      </c>
      <c r="Y46" s="280">
        <v>0</v>
      </c>
      <c r="Z46" s="280">
        <v>294</v>
      </c>
      <c r="AA46" s="280">
        <v>452</v>
      </c>
      <c r="AB46" s="280">
        <v>567</v>
      </c>
      <c r="AC46" s="91">
        <f>SUM(Q46:AB46)</f>
        <v>2996</v>
      </c>
    </row>
    <row r="47" spans="1:29" x14ac:dyDescent="0.2">
      <c r="A47" s="56" t="s">
        <v>72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5">
        <f>N45-N46</f>
        <v>1962</v>
      </c>
      <c r="O47" s="255"/>
      <c r="P47" s="276" t="s">
        <v>72</v>
      </c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5">
        <f>AC45-AC46</f>
        <v>2329</v>
      </c>
    </row>
    <row r="50" spans="1:29" x14ac:dyDescent="0.2">
      <c r="A50" s="63" t="str">
        <f>INDATA!B49</f>
        <v>Energirenoverat miljonprogram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</row>
    <row r="51" spans="1:29" x14ac:dyDescent="0.2">
      <c r="A51" s="249">
        <f>N55</f>
        <v>4175.0208140610557</v>
      </c>
      <c r="B51" s="38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38"/>
      <c r="O51" s="38"/>
      <c r="P51" s="249">
        <f>AC55</f>
        <v>6262.5312210915818</v>
      </c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</row>
    <row r="52" spans="1:29" x14ac:dyDescent="0.2">
      <c r="A52" s="51" t="s">
        <v>64</v>
      </c>
      <c r="B52" s="17" t="s">
        <v>20</v>
      </c>
      <c r="C52" s="17" t="s">
        <v>21</v>
      </c>
      <c r="D52" s="17" t="s">
        <v>22</v>
      </c>
      <c r="E52" s="17" t="s">
        <v>23</v>
      </c>
      <c r="F52" s="17" t="s">
        <v>24</v>
      </c>
      <c r="G52" s="17" t="s">
        <v>25</v>
      </c>
      <c r="H52" s="17" t="s">
        <v>26</v>
      </c>
      <c r="I52" s="17" t="s">
        <v>27</v>
      </c>
      <c r="J52" s="17" t="s">
        <v>28</v>
      </c>
      <c r="K52" s="17" t="s">
        <v>29</v>
      </c>
      <c r="L52" s="17" t="s">
        <v>30</v>
      </c>
      <c r="M52" s="17" t="s">
        <v>31</v>
      </c>
      <c r="N52" s="23" t="s">
        <v>53</v>
      </c>
      <c r="P52" s="51" t="s">
        <v>64</v>
      </c>
      <c r="Q52" s="17" t="s">
        <v>20</v>
      </c>
      <c r="R52" s="17" t="s">
        <v>21</v>
      </c>
      <c r="S52" s="17" t="s">
        <v>22</v>
      </c>
      <c r="T52" s="17" t="s">
        <v>23</v>
      </c>
      <c r="U52" s="17" t="s">
        <v>24</v>
      </c>
      <c r="V52" s="17" t="s">
        <v>25</v>
      </c>
      <c r="W52" s="17" t="s">
        <v>26</v>
      </c>
      <c r="X52" s="17" t="s">
        <v>27</v>
      </c>
      <c r="Y52" s="17" t="s">
        <v>28</v>
      </c>
      <c r="Z52" s="17" t="s">
        <v>29</v>
      </c>
      <c r="AA52" s="17" t="s">
        <v>30</v>
      </c>
      <c r="AB52" s="17" t="s">
        <v>31</v>
      </c>
      <c r="AC52" s="23" t="s">
        <v>53</v>
      </c>
    </row>
    <row r="53" spans="1:29" x14ac:dyDescent="0.2">
      <c r="A53" s="23" t="s">
        <v>63</v>
      </c>
      <c r="B53" s="17">
        <v>107.3371877890842</v>
      </c>
      <c r="C53" s="17">
        <v>107.3371877890842</v>
      </c>
      <c r="D53" s="17">
        <v>107.3371877890842</v>
      </c>
      <c r="E53" s="17">
        <v>107.3371877890842</v>
      </c>
      <c r="F53" s="17">
        <v>107.3371877890842</v>
      </c>
      <c r="G53" s="17">
        <v>107.3371877890842</v>
      </c>
      <c r="H53" s="17">
        <v>107.3371877890842</v>
      </c>
      <c r="I53" s="17">
        <v>107.3371877890842</v>
      </c>
      <c r="J53" s="17">
        <v>107.3371877890842</v>
      </c>
      <c r="K53" s="17">
        <v>107.3371877890842</v>
      </c>
      <c r="L53" s="17">
        <v>107.3371877890842</v>
      </c>
      <c r="M53" s="17">
        <v>107.3371877890842</v>
      </c>
      <c r="N53" s="23">
        <f>SUM(B53:M53)</f>
        <v>1288.0462534690105</v>
      </c>
      <c r="P53" s="23" t="s">
        <v>63</v>
      </c>
      <c r="Q53" s="17">
        <v>161.00578168362631</v>
      </c>
      <c r="R53" s="17">
        <v>161.00578168362631</v>
      </c>
      <c r="S53" s="17">
        <v>161.00578168362631</v>
      </c>
      <c r="T53" s="17">
        <v>161.00578168362631</v>
      </c>
      <c r="U53" s="17">
        <v>161.00578168362631</v>
      </c>
      <c r="V53" s="17">
        <v>161.00578168362631</v>
      </c>
      <c r="W53" s="17">
        <v>161.00578168362631</v>
      </c>
      <c r="X53" s="17">
        <v>161.00578168362631</v>
      </c>
      <c r="Y53" s="17">
        <v>161.00578168362631</v>
      </c>
      <c r="Z53" s="17">
        <v>161.00578168362631</v>
      </c>
      <c r="AA53" s="17">
        <v>161.00578168362631</v>
      </c>
      <c r="AB53" s="17">
        <v>161.00578168362631</v>
      </c>
      <c r="AC53" s="91">
        <f>SUM(Q53:AB53)</f>
        <v>1932.0693802035157</v>
      </c>
    </row>
    <row r="54" spans="1:29" x14ac:dyDescent="0.2">
      <c r="A54" s="20" t="s">
        <v>65</v>
      </c>
      <c r="B54" s="93">
        <v>483.98057354301574</v>
      </c>
      <c r="C54" s="93">
        <v>446.82608695652164</v>
      </c>
      <c r="D54" s="93">
        <v>408.76133209990752</v>
      </c>
      <c r="E54" s="93">
        <v>260.12719703977791</v>
      </c>
      <c r="F54" s="93">
        <v>121.5397779833488</v>
      </c>
      <c r="G54" s="93">
        <v>29.941258094357071</v>
      </c>
      <c r="H54" s="93">
        <v>0</v>
      </c>
      <c r="I54" s="93">
        <v>23.290934320074019</v>
      </c>
      <c r="J54" s="93">
        <v>88.374190564292363</v>
      </c>
      <c r="K54" s="93">
        <v>234.70397779833479</v>
      </c>
      <c r="L54" s="93">
        <v>342.44819611470865</v>
      </c>
      <c r="M54" s="93">
        <v>446.98103607770588</v>
      </c>
      <c r="N54" s="21">
        <f>SUM(B54:M54)</f>
        <v>2886.9745605920448</v>
      </c>
      <c r="P54" s="20" t="s">
        <v>65</v>
      </c>
      <c r="Q54" s="101">
        <v>725.97086031452363</v>
      </c>
      <c r="R54" s="101">
        <v>670.23913043478251</v>
      </c>
      <c r="S54" s="101">
        <v>613.14199814986125</v>
      </c>
      <c r="T54" s="101">
        <v>390.19079555966687</v>
      </c>
      <c r="U54" s="101">
        <v>182.30966697502319</v>
      </c>
      <c r="V54" s="101">
        <v>44.911887141535608</v>
      </c>
      <c r="W54" s="101">
        <v>0</v>
      </c>
      <c r="X54" s="101">
        <v>34.93640148011103</v>
      </c>
      <c r="Y54" s="101">
        <v>132.56128584643855</v>
      </c>
      <c r="Z54" s="101">
        <v>352.05596669750219</v>
      </c>
      <c r="AA54" s="101">
        <v>513.67229417206295</v>
      </c>
      <c r="AB54" s="101">
        <v>670.47155411655876</v>
      </c>
      <c r="AC54" s="95">
        <f>SUM(Q54:AB54)</f>
        <v>4330.461840888066</v>
      </c>
    </row>
    <row r="55" spans="1:29" x14ac:dyDescent="0.2">
      <c r="A55" s="53" t="s">
        <v>41</v>
      </c>
      <c r="B55" s="10">
        <f>SUM(B53:B54)</f>
        <v>591.31776133209996</v>
      </c>
      <c r="C55" s="10">
        <f t="shared" ref="C55:N55" si="58">SUM(C53:C54)</f>
        <v>554.1632747456058</v>
      </c>
      <c r="D55" s="10">
        <f t="shared" si="58"/>
        <v>516.09851988899175</v>
      </c>
      <c r="E55" s="10">
        <f t="shared" si="58"/>
        <v>367.46438482886208</v>
      </c>
      <c r="F55" s="10">
        <f t="shared" si="58"/>
        <v>228.87696577243298</v>
      </c>
      <c r="G55" s="10">
        <f t="shared" si="58"/>
        <v>137.27844588344126</v>
      </c>
      <c r="H55" s="10">
        <f t="shared" si="58"/>
        <v>107.3371877890842</v>
      </c>
      <c r="I55" s="10">
        <f t="shared" si="58"/>
        <v>130.62812210915823</v>
      </c>
      <c r="J55" s="10">
        <f t="shared" si="58"/>
        <v>195.71137835337657</v>
      </c>
      <c r="K55" s="10">
        <f t="shared" si="58"/>
        <v>342.04116558741896</v>
      </c>
      <c r="L55" s="10">
        <f t="shared" si="58"/>
        <v>449.78538390379288</v>
      </c>
      <c r="M55" s="10">
        <f t="shared" si="58"/>
        <v>554.31822386679005</v>
      </c>
      <c r="N55" s="21">
        <f t="shared" si="58"/>
        <v>4175.0208140610557</v>
      </c>
      <c r="P55" s="53" t="s">
        <v>41</v>
      </c>
      <c r="Q55" s="10">
        <f>SUM(Q53:Q54)</f>
        <v>886.97664199814994</v>
      </c>
      <c r="R55" s="10">
        <f t="shared" ref="R55" si="59">SUM(R53:R54)</f>
        <v>831.24491211840882</v>
      </c>
      <c r="S55" s="10">
        <f t="shared" ref="S55" si="60">SUM(S53:S54)</f>
        <v>774.14777983348756</v>
      </c>
      <c r="T55" s="10">
        <f t="shared" ref="T55" si="61">SUM(T53:T54)</f>
        <v>551.19657724329318</v>
      </c>
      <c r="U55" s="10">
        <f t="shared" ref="U55" si="62">SUM(U53:U54)</f>
        <v>343.31544865864953</v>
      </c>
      <c r="V55" s="10">
        <f t="shared" ref="V55" si="63">SUM(V53:V54)</f>
        <v>205.91766882516191</v>
      </c>
      <c r="W55" s="10">
        <f t="shared" ref="W55" si="64">SUM(W53:W54)</f>
        <v>161.00578168362631</v>
      </c>
      <c r="X55" s="10">
        <f t="shared" ref="X55" si="65">SUM(X53:X54)</f>
        <v>195.94218316373735</v>
      </c>
      <c r="Y55" s="10">
        <f t="shared" ref="Y55" si="66">SUM(Y53:Y54)</f>
        <v>293.56706753006483</v>
      </c>
      <c r="Z55" s="10">
        <f t="shared" ref="Z55" si="67">SUM(Z53:Z54)</f>
        <v>513.0617483811285</v>
      </c>
      <c r="AA55" s="10">
        <f t="shared" ref="AA55" si="68">SUM(AA53:AA54)</f>
        <v>674.67807585568926</v>
      </c>
      <c r="AB55" s="10">
        <f t="shared" ref="AB55:AC55" si="69">SUM(AB53:AB54)</f>
        <v>831.47733580018507</v>
      </c>
      <c r="AC55" s="95">
        <f t="shared" si="69"/>
        <v>6262.5312210915818</v>
      </c>
    </row>
    <row r="56" spans="1:29" x14ac:dyDescent="0.2">
      <c r="AC56" s="255"/>
    </row>
    <row r="57" spans="1:29" x14ac:dyDescent="0.2">
      <c r="A57" s="53" t="s">
        <v>69</v>
      </c>
      <c r="B57" s="17" t="s">
        <v>20</v>
      </c>
      <c r="C57" s="17" t="s">
        <v>21</v>
      </c>
      <c r="D57" s="17" t="s">
        <v>22</v>
      </c>
      <c r="E57" s="17" t="s">
        <v>23</v>
      </c>
      <c r="F57" s="17" t="s">
        <v>24</v>
      </c>
      <c r="G57" s="17" t="s">
        <v>25</v>
      </c>
      <c r="H57" s="17" t="s">
        <v>26</v>
      </c>
      <c r="I57" s="17" t="s">
        <v>27</v>
      </c>
      <c r="J57" s="17" t="s">
        <v>28</v>
      </c>
      <c r="K57" s="17" t="s">
        <v>29</v>
      </c>
      <c r="L57" s="17" t="s">
        <v>30</v>
      </c>
      <c r="M57" s="17" t="s">
        <v>31</v>
      </c>
      <c r="N57" s="23" t="s">
        <v>53</v>
      </c>
      <c r="P57" s="53" t="s">
        <v>69</v>
      </c>
      <c r="Q57" s="17" t="s">
        <v>20</v>
      </c>
      <c r="R57" s="17" t="s">
        <v>21</v>
      </c>
      <c r="S57" s="17" t="s">
        <v>22</v>
      </c>
      <c r="T57" s="17" t="s">
        <v>23</v>
      </c>
      <c r="U57" s="17" t="s">
        <v>24</v>
      </c>
      <c r="V57" s="17" t="s">
        <v>25</v>
      </c>
      <c r="W57" s="17" t="s">
        <v>26</v>
      </c>
      <c r="X57" s="17" t="s">
        <v>27</v>
      </c>
      <c r="Y57" s="17" t="s">
        <v>28</v>
      </c>
      <c r="Z57" s="17" t="s">
        <v>29</v>
      </c>
      <c r="AA57" s="17" t="s">
        <v>30</v>
      </c>
      <c r="AB57" s="17" t="s">
        <v>31</v>
      </c>
      <c r="AC57" s="91" t="s">
        <v>53</v>
      </c>
    </row>
    <row r="58" spans="1:29" x14ac:dyDescent="0.2">
      <c r="A58" s="54" t="s">
        <v>66</v>
      </c>
      <c r="B58" s="89">
        <v>184.17778699359212</v>
      </c>
      <c r="C58" s="89">
        <v>177.23850003962616</v>
      </c>
      <c r="D58" s="89">
        <v>130.17967798301265</v>
      </c>
      <c r="E58" s="89">
        <v>76.222440859076414</v>
      </c>
      <c r="F58" s="89">
        <v>228.87696577243298</v>
      </c>
      <c r="G58" s="89">
        <v>137.27844588344126</v>
      </c>
      <c r="H58" s="89">
        <v>107.3371877890842</v>
      </c>
      <c r="I58" s="89">
        <v>130.62812210915823</v>
      </c>
      <c r="J58" s="89">
        <v>195.71137835337657</v>
      </c>
      <c r="K58" s="89">
        <v>55.151000588680461</v>
      </c>
      <c r="L58" s="89">
        <v>88.79519183516976</v>
      </c>
      <c r="M58" s="89">
        <v>184.21188509575336</v>
      </c>
      <c r="N58" s="91">
        <f>SUM(B58:M58)</f>
        <v>1695.8085833024045</v>
      </c>
      <c r="P58" s="54" t="s">
        <v>66</v>
      </c>
      <c r="Q58" s="17">
        <v>307.55686713918135</v>
      </c>
      <c r="R58" s="17">
        <v>286.1472943082324</v>
      </c>
      <c r="S58" s="17">
        <v>207.03695402331209</v>
      </c>
      <c r="T58" s="17">
        <v>122.2667418310856</v>
      </c>
      <c r="U58" s="17">
        <v>343.31544865864953</v>
      </c>
      <c r="V58" s="17">
        <v>205.91766882516191</v>
      </c>
      <c r="W58" s="17">
        <v>161.00578168362631</v>
      </c>
      <c r="X58" s="17">
        <v>195.94218316373735</v>
      </c>
      <c r="Y58" s="17">
        <v>293.56706753006483</v>
      </c>
      <c r="Z58" s="17">
        <v>82.726500883020776</v>
      </c>
      <c r="AA58" s="17">
        <v>130.26540990396131</v>
      </c>
      <c r="AB58" s="17">
        <v>289.0349140436299</v>
      </c>
      <c r="AC58" s="91">
        <f>SUM(Q58:AB58)</f>
        <v>2624.7828319936634</v>
      </c>
    </row>
    <row r="59" spans="1:29" x14ac:dyDescent="0.2">
      <c r="A59" s="21" t="s">
        <v>67</v>
      </c>
      <c r="B59" s="93">
        <v>0</v>
      </c>
      <c r="C59" s="93">
        <v>0</v>
      </c>
      <c r="D59" s="93">
        <v>0</v>
      </c>
      <c r="E59" s="93">
        <v>0</v>
      </c>
      <c r="F59" s="93">
        <v>855</v>
      </c>
      <c r="G59" s="93">
        <v>1350</v>
      </c>
      <c r="H59" s="93">
        <v>1325</v>
      </c>
      <c r="I59" s="93">
        <v>925</v>
      </c>
      <c r="J59" s="93">
        <v>610</v>
      </c>
      <c r="K59" s="93">
        <v>0</v>
      </c>
      <c r="L59" s="93">
        <v>0</v>
      </c>
      <c r="M59" s="93">
        <v>0</v>
      </c>
      <c r="N59" s="95">
        <f>SUM(B59:M59)</f>
        <v>5065</v>
      </c>
      <c r="P59" s="21" t="s">
        <v>67</v>
      </c>
      <c r="Q59" s="10"/>
      <c r="R59" s="10"/>
      <c r="S59" s="10"/>
      <c r="T59" s="10"/>
      <c r="U59" s="10">
        <v>1196</v>
      </c>
      <c r="V59" s="10">
        <v>1800</v>
      </c>
      <c r="W59" s="10">
        <v>1750</v>
      </c>
      <c r="X59" s="10">
        <v>1180</v>
      </c>
      <c r="Y59" s="10">
        <v>700</v>
      </c>
      <c r="Z59" s="10"/>
      <c r="AA59" s="10"/>
      <c r="AB59" s="10"/>
      <c r="AC59" s="95">
        <f>SUM(Q59:AB59)</f>
        <v>6626</v>
      </c>
    </row>
    <row r="60" spans="1:29" x14ac:dyDescent="0.2">
      <c r="A60" s="52" t="s">
        <v>68</v>
      </c>
      <c r="B60" s="93">
        <f>SUM(B58:B59)</f>
        <v>184.17778699359212</v>
      </c>
      <c r="C60" s="93">
        <f t="shared" ref="C60:M60" si="70">SUM(C58:C59)</f>
        <v>177.23850003962616</v>
      </c>
      <c r="D60" s="93">
        <f t="shared" si="70"/>
        <v>130.17967798301265</v>
      </c>
      <c r="E60" s="93">
        <f t="shared" si="70"/>
        <v>76.222440859076414</v>
      </c>
      <c r="F60" s="93">
        <f t="shared" si="70"/>
        <v>1083.8769657724329</v>
      </c>
      <c r="G60" s="93">
        <f t="shared" si="70"/>
        <v>1487.2784458834412</v>
      </c>
      <c r="H60" s="93">
        <f t="shared" si="70"/>
        <v>1432.3371877890843</v>
      </c>
      <c r="I60" s="93">
        <f t="shared" si="70"/>
        <v>1055.6281221091583</v>
      </c>
      <c r="J60" s="93">
        <f t="shared" si="70"/>
        <v>805.71137835337663</v>
      </c>
      <c r="K60" s="93">
        <f t="shared" si="70"/>
        <v>55.151000588680461</v>
      </c>
      <c r="L60" s="93">
        <f t="shared" si="70"/>
        <v>88.79519183516976</v>
      </c>
      <c r="M60" s="93">
        <f t="shared" si="70"/>
        <v>184.21188509575336</v>
      </c>
      <c r="N60" s="95">
        <f>SUM(B60:M60)</f>
        <v>6760.8085833024043</v>
      </c>
      <c r="P60" s="52" t="s">
        <v>68</v>
      </c>
      <c r="Q60" s="93">
        <f>SUM(Q58:Q59)</f>
        <v>307.55686713918135</v>
      </c>
      <c r="R60" s="93">
        <f t="shared" ref="R60" si="71">SUM(R58:R59)</f>
        <v>286.1472943082324</v>
      </c>
      <c r="S60" s="93">
        <f t="shared" ref="S60" si="72">SUM(S58:S59)</f>
        <v>207.03695402331209</v>
      </c>
      <c r="T60" s="93">
        <f t="shared" ref="T60" si="73">SUM(T58:T59)</f>
        <v>122.2667418310856</v>
      </c>
      <c r="U60" s="93">
        <f t="shared" ref="U60" si="74">SUM(U58:U59)</f>
        <v>1539.3154486586495</v>
      </c>
      <c r="V60" s="93">
        <f t="shared" ref="V60" si="75">SUM(V58:V59)</f>
        <v>2005.9176688251619</v>
      </c>
      <c r="W60" s="93">
        <f t="shared" ref="W60" si="76">SUM(W58:W59)</f>
        <v>1911.0057816836263</v>
      </c>
      <c r="X60" s="93">
        <f t="shared" ref="X60" si="77">SUM(X58:X59)</f>
        <v>1375.9421831637374</v>
      </c>
      <c r="Y60" s="93">
        <f t="shared" ref="Y60" si="78">SUM(Y58:Y59)</f>
        <v>993.56706753006483</v>
      </c>
      <c r="Z60" s="93">
        <f t="shared" ref="Z60" si="79">SUM(Z58:Z59)</f>
        <v>82.726500883020776</v>
      </c>
      <c r="AA60" s="93">
        <f t="shared" ref="AA60" si="80">SUM(AA58:AA59)</f>
        <v>130.26540990396131</v>
      </c>
      <c r="AB60" s="93">
        <f t="shared" ref="AB60" si="81">SUM(AB58:AB59)</f>
        <v>289.0349140436299</v>
      </c>
      <c r="AC60" s="95">
        <f>SUM(Q60:AB60)</f>
        <v>9250.7828319936616</v>
      </c>
    </row>
    <row r="62" spans="1:29" x14ac:dyDescent="0.2">
      <c r="A62" s="19" t="s">
        <v>73</v>
      </c>
      <c r="B62" s="17" t="s">
        <v>20</v>
      </c>
      <c r="C62" s="17" t="s">
        <v>21</v>
      </c>
      <c r="D62" s="17" t="s">
        <v>22</v>
      </c>
      <c r="E62" s="17" t="s">
        <v>23</v>
      </c>
      <c r="F62" s="17" t="s">
        <v>24</v>
      </c>
      <c r="G62" s="17" t="s">
        <v>25</v>
      </c>
      <c r="H62" s="17" t="s">
        <v>26</v>
      </c>
      <c r="I62" s="17" t="s">
        <v>27</v>
      </c>
      <c r="J62" s="17" t="s">
        <v>28</v>
      </c>
      <c r="K62" s="17" t="s">
        <v>29</v>
      </c>
      <c r="L62" s="17" t="s">
        <v>30</v>
      </c>
      <c r="M62" s="17" t="s">
        <v>31</v>
      </c>
      <c r="N62" s="23" t="s">
        <v>53</v>
      </c>
      <c r="P62" s="19" t="s">
        <v>73</v>
      </c>
      <c r="Q62" s="17" t="s">
        <v>20</v>
      </c>
      <c r="R62" s="17" t="s">
        <v>21</v>
      </c>
      <c r="S62" s="17" t="s">
        <v>22</v>
      </c>
      <c r="T62" s="17" t="s">
        <v>23</v>
      </c>
      <c r="U62" s="17" t="s">
        <v>24</v>
      </c>
      <c r="V62" s="17" t="s">
        <v>25</v>
      </c>
      <c r="W62" s="17" t="s">
        <v>26</v>
      </c>
      <c r="X62" s="17" t="s">
        <v>27</v>
      </c>
      <c r="Y62" s="17" t="s">
        <v>28</v>
      </c>
      <c r="Z62" s="17" t="s">
        <v>29</v>
      </c>
      <c r="AA62" s="17" t="s">
        <v>30</v>
      </c>
      <c r="AB62" s="17" t="s">
        <v>31</v>
      </c>
      <c r="AC62" s="23" t="s">
        <v>53</v>
      </c>
    </row>
    <row r="63" spans="1:29" x14ac:dyDescent="0.2">
      <c r="A63" s="54" t="s">
        <v>70</v>
      </c>
      <c r="B63" s="17"/>
      <c r="C63" s="17"/>
      <c r="D63" s="17"/>
      <c r="E63" s="17"/>
      <c r="F63" s="17">
        <v>855</v>
      </c>
      <c r="G63" s="17">
        <v>1350</v>
      </c>
      <c r="H63" s="17">
        <v>1325</v>
      </c>
      <c r="I63" s="17">
        <v>925</v>
      </c>
      <c r="J63" s="17">
        <v>610</v>
      </c>
      <c r="K63" s="17"/>
      <c r="L63" s="17"/>
      <c r="M63" s="17"/>
      <c r="N63" s="23">
        <f>SUM(B63:M63)</f>
        <v>5065</v>
      </c>
      <c r="P63" s="54" t="s">
        <v>70</v>
      </c>
      <c r="Q63" s="17"/>
      <c r="R63" s="17"/>
      <c r="S63" s="17"/>
      <c r="T63" s="17"/>
      <c r="U63" s="17">
        <v>1196</v>
      </c>
      <c r="V63" s="17">
        <v>1800</v>
      </c>
      <c r="W63" s="17">
        <v>1750</v>
      </c>
      <c r="X63" s="17">
        <v>1180</v>
      </c>
      <c r="Y63" s="17">
        <v>700</v>
      </c>
      <c r="Z63" s="17"/>
      <c r="AA63" s="17"/>
      <c r="AB63" s="17"/>
      <c r="AC63" s="23">
        <f>SUM(Q63:AB63)</f>
        <v>6626</v>
      </c>
    </row>
    <row r="64" spans="1:29" x14ac:dyDescent="0.2">
      <c r="A64" s="57" t="s">
        <v>71</v>
      </c>
      <c r="B64" s="24">
        <v>407</v>
      </c>
      <c r="C64" s="17">
        <v>377</v>
      </c>
      <c r="D64" s="17">
        <v>386</v>
      </c>
      <c r="E64" s="17">
        <v>291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287</v>
      </c>
      <c r="L64" s="17">
        <v>361</v>
      </c>
      <c r="M64" s="17">
        <v>370</v>
      </c>
      <c r="N64" s="23">
        <f>SUM(B64:M64)</f>
        <v>2479</v>
      </c>
      <c r="P64" s="57" t="s">
        <v>71</v>
      </c>
      <c r="Q64" s="24">
        <v>579</v>
      </c>
      <c r="R64" s="17">
        <v>545</v>
      </c>
      <c r="S64" s="17">
        <v>567</v>
      </c>
      <c r="T64" s="17">
        <v>429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430</v>
      </c>
      <c r="AA64" s="17">
        <v>544</v>
      </c>
      <c r="AB64" s="17">
        <v>542</v>
      </c>
      <c r="AC64" s="23">
        <f>SUM(Q64:AB64)</f>
        <v>3636</v>
      </c>
    </row>
    <row r="65" spans="1:29" x14ac:dyDescent="0.2">
      <c r="A65" s="56" t="s">
        <v>72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21">
        <f>N63-N64</f>
        <v>2586</v>
      </c>
      <c r="P65" s="56" t="s">
        <v>72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21">
        <f>AC63-AC64</f>
        <v>2990</v>
      </c>
    </row>
    <row r="66" spans="1:29" x14ac:dyDescent="0.2">
      <c r="A66" s="55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P66" s="55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</row>
    <row r="67" spans="1:29" s="154" customFormat="1" x14ac:dyDescent="0.2">
      <c r="A67" s="152" t="s">
        <v>236</v>
      </c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</row>
    <row r="68" spans="1:29" x14ac:dyDescent="0.2">
      <c r="A68" s="6" t="str">
        <f>A14</f>
        <v xml:space="preserve"> Modern energieffektiv kontorsbyggnad</v>
      </c>
      <c r="B68" s="157" t="s">
        <v>20</v>
      </c>
      <c r="C68" s="158" t="s">
        <v>21</v>
      </c>
      <c r="D68" s="158" t="s">
        <v>22</v>
      </c>
      <c r="E68" s="158" t="s">
        <v>23</v>
      </c>
      <c r="F68" s="158" t="s">
        <v>24</v>
      </c>
      <c r="G68" s="158" t="s">
        <v>25</v>
      </c>
      <c r="H68" s="158" t="s">
        <v>26</v>
      </c>
      <c r="I68" s="158" t="s">
        <v>27</v>
      </c>
      <c r="J68" s="158" t="s">
        <v>28</v>
      </c>
      <c r="K68" s="158" t="s">
        <v>29</v>
      </c>
      <c r="L68" s="158" t="s">
        <v>30</v>
      </c>
      <c r="M68" s="159" t="s">
        <v>31</v>
      </c>
      <c r="N68" s="29"/>
      <c r="P68" s="55" t="str">
        <f>A68</f>
        <v xml:space="preserve"> Modern energieffektiv kontorsbyggnad</v>
      </c>
      <c r="Q68" s="157" t="s">
        <v>20</v>
      </c>
      <c r="R68" s="158" t="s">
        <v>21</v>
      </c>
      <c r="S68" s="158" t="s">
        <v>22</v>
      </c>
      <c r="T68" s="158" t="s">
        <v>23</v>
      </c>
      <c r="U68" s="158" t="s">
        <v>24</v>
      </c>
      <c r="V68" s="158" t="s">
        <v>25</v>
      </c>
      <c r="W68" s="158" t="s">
        <v>26</v>
      </c>
      <c r="X68" s="158" t="s">
        <v>27</v>
      </c>
      <c r="Y68" s="158" t="s">
        <v>28</v>
      </c>
      <c r="Z68" s="158" t="s">
        <v>29</v>
      </c>
      <c r="AA68" s="158" t="s">
        <v>30</v>
      </c>
      <c r="AB68" s="159" t="s">
        <v>31</v>
      </c>
      <c r="AC68" s="29"/>
    </row>
    <row r="69" spans="1:29" x14ac:dyDescent="0.2">
      <c r="A69" s="155" t="s">
        <v>128</v>
      </c>
      <c r="B69" s="24"/>
      <c r="C69" s="17"/>
      <c r="D69" s="17"/>
      <c r="E69" s="17"/>
      <c r="F69" s="17">
        <v>900</v>
      </c>
      <c r="G69" s="17">
        <v>850</v>
      </c>
      <c r="H69" s="17">
        <v>850</v>
      </c>
      <c r="I69" s="17">
        <v>800</v>
      </c>
      <c r="J69" s="17">
        <v>800</v>
      </c>
      <c r="K69" s="17"/>
      <c r="L69" s="17"/>
      <c r="M69" s="29"/>
      <c r="N69" s="29"/>
      <c r="P69" s="55" t="str">
        <f t="shared" ref="P69:P78" si="82">A69</f>
        <v>Lageraltarnativ</v>
      </c>
      <c r="Q69" s="24"/>
      <c r="R69" s="17"/>
      <c r="S69" s="17"/>
      <c r="T69" s="17"/>
      <c r="U69" s="17">
        <f>F69*1.5</f>
        <v>1350</v>
      </c>
      <c r="V69" s="17">
        <f t="shared" ref="V69:Y69" si="83">G69*1.5</f>
        <v>1275</v>
      </c>
      <c r="W69" s="17">
        <f t="shared" si="83"/>
        <v>1275</v>
      </c>
      <c r="X69" s="17">
        <f t="shared" si="83"/>
        <v>1200</v>
      </c>
      <c r="Y69" s="17">
        <f t="shared" si="83"/>
        <v>1200</v>
      </c>
      <c r="Z69" s="17"/>
      <c r="AA69" s="17"/>
      <c r="AB69" s="29"/>
      <c r="AC69" s="29"/>
    </row>
    <row r="70" spans="1:29" x14ac:dyDescent="0.2">
      <c r="A70" s="156" t="s">
        <v>93</v>
      </c>
      <c r="B70" s="9">
        <v>400</v>
      </c>
      <c r="C70" s="10">
        <v>400</v>
      </c>
      <c r="D70" s="10"/>
      <c r="E70" s="10"/>
      <c r="F70" s="10"/>
      <c r="G70" s="10"/>
      <c r="H70" s="10"/>
      <c r="I70" s="10"/>
      <c r="J70" s="10"/>
      <c r="K70" s="10"/>
      <c r="L70" s="10"/>
      <c r="M70" s="11"/>
      <c r="N70" s="11"/>
      <c r="P70" s="55" t="str">
        <f t="shared" si="82"/>
        <v>Nollalternativ</v>
      </c>
      <c r="Q70" s="9">
        <f>B70*1.5</f>
        <v>600</v>
      </c>
      <c r="R70" s="9">
        <f t="shared" ref="R70" si="84">C70*1.5</f>
        <v>600</v>
      </c>
      <c r="S70" s="9"/>
      <c r="T70" s="10"/>
      <c r="U70" s="10"/>
      <c r="V70" s="10"/>
      <c r="W70" s="10"/>
      <c r="X70" s="10"/>
      <c r="Y70" s="10"/>
      <c r="Z70" s="10"/>
      <c r="AA70" s="10"/>
      <c r="AB70" s="11"/>
      <c r="AC70" s="11"/>
    </row>
    <row r="71" spans="1:29" x14ac:dyDescent="0.2">
      <c r="A71" s="55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P71" s="55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</row>
    <row r="72" spans="1:29" x14ac:dyDescent="0.2">
      <c r="A72" s="25" t="str">
        <f>A32</f>
        <v>Äldre energirenoverad kontorsbyggnad</v>
      </c>
      <c r="B72" s="157" t="s">
        <v>20</v>
      </c>
      <c r="C72" s="158" t="s">
        <v>21</v>
      </c>
      <c r="D72" s="158" t="s">
        <v>22</v>
      </c>
      <c r="E72" s="158" t="s">
        <v>23</v>
      </c>
      <c r="F72" s="158" t="s">
        <v>24</v>
      </c>
      <c r="G72" s="158" t="s">
        <v>25</v>
      </c>
      <c r="H72" s="158" t="s">
        <v>26</v>
      </c>
      <c r="I72" s="158" t="s">
        <v>27</v>
      </c>
      <c r="J72" s="158" t="s">
        <v>28</v>
      </c>
      <c r="K72" s="158" t="s">
        <v>29</v>
      </c>
      <c r="L72" s="158" t="s">
        <v>30</v>
      </c>
      <c r="M72" s="159" t="s">
        <v>31</v>
      </c>
      <c r="N72" s="29"/>
      <c r="P72" s="55" t="str">
        <f t="shared" si="82"/>
        <v>Äldre energirenoverad kontorsbyggnad</v>
      </c>
      <c r="Q72" s="157" t="s">
        <v>20</v>
      </c>
      <c r="R72" s="158" t="s">
        <v>21</v>
      </c>
      <c r="S72" s="158" t="s">
        <v>22</v>
      </c>
      <c r="T72" s="158" t="s">
        <v>23</v>
      </c>
      <c r="U72" s="158" t="s">
        <v>24</v>
      </c>
      <c r="V72" s="158" t="s">
        <v>25</v>
      </c>
      <c r="W72" s="158" t="s">
        <v>26</v>
      </c>
      <c r="X72" s="158" t="s">
        <v>27</v>
      </c>
      <c r="Y72" s="158" t="s">
        <v>28</v>
      </c>
      <c r="Z72" s="158" t="s">
        <v>29</v>
      </c>
      <c r="AA72" s="158" t="s">
        <v>30</v>
      </c>
      <c r="AB72" s="159" t="s">
        <v>31</v>
      </c>
      <c r="AC72" s="29"/>
    </row>
    <row r="73" spans="1:29" x14ac:dyDescent="0.2">
      <c r="A73" s="55" t="s">
        <v>128</v>
      </c>
      <c r="B73" s="24">
        <v>2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29"/>
      <c r="N73" s="29"/>
      <c r="P73" s="55" t="str">
        <f t="shared" si="82"/>
        <v>Lageraltarnativ</v>
      </c>
      <c r="Q73" s="24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29"/>
      <c r="AC73" s="29"/>
    </row>
    <row r="74" spans="1:29" x14ac:dyDescent="0.2">
      <c r="A74" s="55" t="s">
        <v>93</v>
      </c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1">
        <v>24</v>
      </c>
      <c r="N74" s="11"/>
      <c r="P74" s="55" t="str">
        <f t="shared" si="82"/>
        <v>Nollalternativ</v>
      </c>
      <c r="Q74" s="9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1"/>
      <c r="AC74" s="11"/>
    </row>
    <row r="75" spans="1:29" x14ac:dyDescent="0.2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P75" s="5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</row>
    <row r="76" spans="1:29" x14ac:dyDescent="0.2">
      <c r="A76" s="25" t="str">
        <f>A50</f>
        <v>Energirenoverat miljonprogram</v>
      </c>
      <c r="B76" s="157" t="s">
        <v>20</v>
      </c>
      <c r="C76" s="158" t="s">
        <v>21</v>
      </c>
      <c r="D76" s="158" t="s">
        <v>22</v>
      </c>
      <c r="E76" s="158" t="s">
        <v>23</v>
      </c>
      <c r="F76" s="158" t="s">
        <v>24</v>
      </c>
      <c r="G76" s="158" t="s">
        <v>25</v>
      </c>
      <c r="H76" s="158" t="s">
        <v>26</v>
      </c>
      <c r="I76" s="158" t="s">
        <v>27</v>
      </c>
      <c r="J76" s="158" t="s">
        <v>28</v>
      </c>
      <c r="K76" s="158" t="s">
        <v>29</v>
      </c>
      <c r="L76" s="158" t="s">
        <v>30</v>
      </c>
      <c r="M76" s="159" t="s">
        <v>31</v>
      </c>
      <c r="N76" s="29"/>
      <c r="P76" s="55" t="str">
        <f t="shared" si="82"/>
        <v>Energirenoverat miljonprogram</v>
      </c>
      <c r="Q76" s="157" t="s">
        <v>20</v>
      </c>
      <c r="R76" s="158" t="s">
        <v>21</v>
      </c>
      <c r="S76" s="158" t="s">
        <v>22</v>
      </c>
      <c r="T76" s="158" t="s">
        <v>23</v>
      </c>
      <c r="U76" s="158" t="s">
        <v>24</v>
      </c>
      <c r="V76" s="158" t="s">
        <v>25</v>
      </c>
      <c r="W76" s="158" t="s">
        <v>26</v>
      </c>
      <c r="X76" s="158" t="s">
        <v>27</v>
      </c>
      <c r="Y76" s="158" t="s">
        <v>28</v>
      </c>
      <c r="Z76" s="158" t="s">
        <v>29</v>
      </c>
      <c r="AA76" s="158" t="s">
        <v>30</v>
      </c>
      <c r="AB76" s="159" t="s">
        <v>31</v>
      </c>
      <c r="AC76" s="29"/>
    </row>
    <row r="77" spans="1:29" x14ac:dyDescent="0.2">
      <c r="A77" s="55" t="s">
        <v>128</v>
      </c>
      <c r="B77" s="24"/>
      <c r="C77" s="17"/>
      <c r="D77" s="17"/>
      <c r="E77" s="17"/>
      <c r="F77" s="17">
        <v>2300</v>
      </c>
      <c r="G77" s="17">
        <v>2000</v>
      </c>
      <c r="H77" s="17">
        <v>2000</v>
      </c>
      <c r="I77" s="17">
        <v>1600</v>
      </c>
      <c r="J77" s="17">
        <v>1600</v>
      </c>
      <c r="K77" s="17"/>
      <c r="L77" s="17"/>
      <c r="M77" s="29"/>
      <c r="N77" s="29"/>
      <c r="P77" s="55" t="str">
        <f t="shared" si="82"/>
        <v>Lageraltarnativ</v>
      </c>
      <c r="Q77" s="24"/>
      <c r="R77" s="17"/>
      <c r="S77" s="17"/>
      <c r="T77" s="17"/>
      <c r="U77" s="17">
        <v>3500</v>
      </c>
      <c r="V77" s="17">
        <f t="shared" ref="V77:X77" si="85">G77*1.5</f>
        <v>3000</v>
      </c>
      <c r="W77" s="17">
        <f t="shared" si="85"/>
        <v>3000</v>
      </c>
      <c r="X77" s="17">
        <f t="shared" si="85"/>
        <v>2400</v>
      </c>
      <c r="Y77" s="17">
        <f>J77*1.5</f>
        <v>2400</v>
      </c>
      <c r="Z77" s="17">
        <f t="shared" ref="Z77" si="86">K77*1.5</f>
        <v>0</v>
      </c>
      <c r="AA77" s="17">
        <f t="shared" ref="AA77" si="87">L77*1.5</f>
        <v>0</v>
      </c>
      <c r="AB77" s="29">
        <f t="shared" ref="AB77" si="88">M77*1.5</f>
        <v>0</v>
      </c>
      <c r="AC77" s="29"/>
    </row>
    <row r="78" spans="1:29" x14ac:dyDescent="0.2">
      <c r="A78" s="55" t="str">
        <f>A74</f>
        <v>Nollalternativ</v>
      </c>
      <c r="B78" s="9">
        <v>1500</v>
      </c>
      <c r="C78" s="10">
        <v>1250</v>
      </c>
      <c r="D78" s="10">
        <v>750</v>
      </c>
      <c r="E78" s="10">
        <v>500</v>
      </c>
      <c r="F78" s="10"/>
      <c r="G78" s="10"/>
      <c r="H78" s="10"/>
      <c r="I78" s="10"/>
      <c r="J78" s="10"/>
      <c r="K78" s="10">
        <v>750</v>
      </c>
      <c r="L78" s="10">
        <v>1000</v>
      </c>
      <c r="M78" s="11">
        <v>1500</v>
      </c>
      <c r="N78" s="11"/>
      <c r="P78" s="55" t="str">
        <f t="shared" si="82"/>
        <v>Nollalternativ</v>
      </c>
      <c r="Q78" s="9">
        <f t="shared" ref="Q78:T78" si="89">B78*1.5</f>
        <v>2250</v>
      </c>
      <c r="R78" s="10">
        <f t="shared" si="89"/>
        <v>1875</v>
      </c>
      <c r="S78" s="10">
        <f t="shared" si="89"/>
        <v>1125</v>
      </c>
      <c r="T78" s="10">
        <f t="shared" si="89"/>
        <v>750</v>
      </c>
      <c r="U78" s="10">
        <f>F78*1.5</f>
        <v>0</v>
      </c>
      <c r="V78" s="10">
        <f t="shared" ref="V78" si="90">G78*1.5</f>
        <v>0</v>
      </c>
      <c r="W78" s="10">
        <f t="shared" ref="W78" si="91">H78*1.5</f>
        <v>0</v>
      </c>
      <c r="X78" s="10">
        <f t="shared" ref="X78" si="92">I78*1.5</f>
        <v>0</v>
      </c>
      <c r="Y78" s="10">
        <f>J78*1.5</f>
        <v>0</v>
      </c>
      <c r="Z78" s="10">
        <f t="shared" ref="Z78" si="93">K78*1.5</f>
        <v>1125</v>
      </c>
      <c r="AA78" s="10">
        <f t="shared" ref="AA78" si="94">L78*1.5</f>
        <v>1500</v>
      </c>
      <c r="AB78" s="11">
        <f t="shared" ref="AB78" si="95">M78*1.5</f>
        <v>2250</v>
      </c>
      <c r="AC78" s="11"/>
    </row>
    <row r="79" spans="1:29" s="27" customFormat="1" x14ac:dyDescent="0.2">
      <c r="P79" s="55"/>
    </row>
    <row r="80" spans="1:29" s="232" customFormat="1" x14ac:dyDescent="0.2">
      <c r="A80" s="233" t="s">
        <v>237</v>
      </c>
    </row>
    <row r="81" spans="1:29" s="55" customFormat="1" x14ac:dyDescent="0.2">
      <c r="A81" s="25"/>
      <c r="B81" s="251" t="s">
        <v>20</v>
      </c>
      <c r="C81" s="252" t="s">
        <v>21</v>
      </c>
      <c r="D81" s="252" t="s">
        <v>22</v>
      </c>
      <c r="E81" s="252" t="s">
        <v>23</v>
      </c>
      <c r="F81" s="252" t="s">
        <v>24</v>
      </c>
      <c r="G81" s="252" t="s">
        <v>25</v>
      </c>
      <c r="H81" s="252" t="s">
        <v>26</v>
      </c>
      <c r="I81" s="252" t="s">
        <v>27</v>
      </c>
      <c r="J81" s="252" t="s">
        <v>28</v>
      </c>
      <c r="K81" s="252" t="s">
        <v>29</v>
      </c>
      <c r="L81" s="252" t="s">
        <v>30</v>
      </c>
      <c r="M81" s="253" t="s">
        <v>31</v>
      </c>
      <c r="N81" s="23" t="s">
        <v>232</v>
      </c>
      <c r="Q81" s="251" t="s">
        <v>20</v>
      </c>
      <c r="R81" s="252" t="s">
        <v>21</v>
      </c>
      <c r="S81" s="252" t="s">
        <v>22</v>
      </c>
      <c r="T81" s="252" t="s">
        <v>23</v>
      </c>
      <c r="U81" s="252" t="s">
        <v>24</v>
      </c>
      <c r="V81" s="252" t="s">
        <v>25</v>
      </c>
      <c r="W81" s="252" t="s">
        <v>26</v>
      </c>
      <c r="X81" s="252" t="s">
        <v>27</v>
      </c>
      <c r="Y81" s="252" t="s">
        <v>28</v>
      </c>
      <c r="Z81" s="252" t="s">
        <v>29</v>
      </c>
      <c r="AA81" s="252" t="s">
        <v>30</v>
      </c>
      <c r="AB81" s="253" t="s">
        <v>31</v>
      </c>
      <c r="AC81" s="23"/>
    </row>
    <row r="82" spans="1:29" s="27" customFormat="1" x14ac:dyDescent="0.2">
      <c r="A82" s="24" t="str">
        <f>A68&amp;" år -1"</f>
        <v xml:space="preserve"> Modern energieffektiv kontorsbyggnad år -1</v>
      </c>
      <c r="B82" s="24"/>
      <c r="C82" s="17"/>
      <c r="D82" s="17"/>
      <c r="E82" s="17"/>
      <c r="F82" s="17">
        <v>1400</v>
      </c>
      <c r="G82" s="17">
        <v>1300</v>
      </c>
      <c r="H82" s="17">
        <v>1100</v>
      </c>
      <c r="I82" s="17">
        <v>1000</v>
      </c>
      <c r="J82" s="17">
        <v>850</v>
      </c>
      <c r="K82" s="158">
        <v>750</v>
      </c>
      <c r="L82" s="158">
        <v>0</v>
      </c>
      <c r="M82" s="159">
        <v>0</v>
      </c>
      <c r="N82" s="23">
        <f>SUM(B82:M82)</f>
        <v>6400</v>
      </c>
      <c r="P82" s="55"/>
      <c r="Q82" s="24"/>
      <c r="R82" s="17"/>
      <c r="S82" s="17"/>
      <c r="T82" s="17"/>
      <c r="U82" s="17">
        <v>1800</v>
      </c>
      <c r="V82" s="17">
        <v>1700</v>
      </c>
      <c r="W82" s="17">
        <v>1700</v>
      </c>
      <c r="X82" s="17">
        <v>1600</v>
      </c>
      <c r="Y82" s="17">
        <v>1300</v>
      </c>
      <c r="Z82" s="158">
        <v>1100</v>
      </c>
      <c r="AA82" s="158">
        <v>0</v>
      </c>
      <c r="AB82" s="159">
        <v>0</v>
      </c>
      <c r="AC82" s="23">
        <f>SUM(Q82:AB82)</f>
        <v>9200</v>
      </c>
    </row>
    <row r="83" spans="1:29" s="27" customFormat="1" x14ac:dyDescent="0.2">
      <c r="A83" s="7" t="str">
        <f>A68&amp;" år0"</f>
        <v xml:space="preserve"> Modern energieffektiv kontorsbyggnad år0</v>
      </c>
      <c r="B83" s="7">
        <v>0</v>
      </c>
      <c r="C83" s="27">
        <v>0</v>
      </c>
      <c r="D83" s="27">
        <v>0</v>
      </c>
      <c r="E83" s="27">
        <v>700</v>
      </c>
      <c r="F83" s="107">
        <v>900</v>
      </c>
      <c r="G83" s="107">
        <v>900</v>
      </c>
      <c r="H83" s="107">
        <v>850</v>
      </c>
      <c r="I83" s="239">
        <v>750</v>
      </c>
      <c r="J83" s="239">
        <v>700</v>
      </c>
      <c r="K83" s="107"/>
      <c r="L83" s="107"/>
      <c r="M83" s="237"/>
      <c r="N83" s="20">
        <f>SUM(B83:M83)</f>
        <v>4800</v>
      </c>
      <c r="P83" s="55"/>
      <c r="Q83" s="7">
        <v>0</v>
      </c>
      <c r="R83" s="27">
        <v>0</v>
      </c>
      <c r="S83" s="27">
        <v>0</v>
      </c>
      <c r="T83" s="27">
        <v>1000</v>
      </c>
      <c r="U83" s="107">
        <v>1300</v>
      </c>
      <c r="V83" s="107">
        <v>1300</v>
      </c>
      <c r="W83" s="107">
        <v>1200</v>
      </c>
      <c r="X83" s="239">
        <v>1100</v>
      </c>
      <c r="Y83" s="239">
        <v>700</v>
      </c>
      <c r="Z83" s="107"/>
      <c r="AA83" s="107"/>
      <c r="AB83" s="237"/>
      <c r="AC83" s="20">
        <f>SUM(Q83:AB83)</f>
        <v>6600</v>
      </c>
    </row>
    <row r="84" spans="1:29" s="27" customFormat="1" x14ac:dyDescent="0.2">
      <c r="A84" s="9"/>
      <c r="B84" s="234"/>
      <c r="C84" s="235"/>
      <c r="D84" s="235"/>
      <c r="E84" s="236"/>
      <c r="F84" s="10"/>
      <c r="G84" s="10"/>
      <c r="H84" s="10"/>
      <c r="I84" s="10"/>
      <c r="J84" s="10"/>
      <c r="K84" s="235"/>
      <c r="L84" s="235"/>
      <c r="M84" s="238"/>
      <c r="N84" s="21">
        <f t="shared" ref="N84" si="96">SUM(B84:M84)</f>
        <v>0</v>
      </c>
      <c r="P84" s="55"/>
      <c r="Q84" s="234"/>
      <c r="R84" s="235"/>
      <c r="S84" s="235"/>
      <c r="T84" s="236"/>
      <c r="U84" s="10"/>
      <c r="V84" s="10"/>
      <c r="W84" s="10"/>
      <c r="X84" s="10"/>
      <c r="Y84" s="10"/>
      <c r="Z84" s="235"/>
      <c r="AA84" s="235"/>
      <c r="AB84" s="238"/>
      <c r="AC84" s="21"/>
    </row>
    <row r="85" spans="1:29" s="27" customFormat="1" x14ac:dyDescent="0.2">
      <c r="A85" s="27" t="str">
        <f>A72&amp;" år -1"</f>
        <v>Äldre energirenoverad kontorsbyggnad år -1</v>
      </c>
      <c r="B85" s="24"/>
      <c r="C85" s="17"/>
      <c r="D85" s="17"/>
      <c r="E85" s="250"/>
      <c r="F85" s="250">
        <v>3000</v>
      </c>
      <c r="G85" s="250">
        <v>2750</v>
      </c>
      <c r="H85" s="250">
        <v>2570</v>
      </c>
      <c r="I85" s="250">
        <v>2450</v>
      </c>
      <c r="J85" s="250">
        <v>2050</v>
      </c>
      <c r="K85" s="250">
        <v>1900</v>
      </c>
      <c r="L85" s="250">
        <v>0</v>
      </c>
      <c r="M85" s="29">
        <v>0</v>
      </c>
      <c r="N85" s="23">
        <f>SUM(B85:M85)</f>
        <v>14720</v>
      </c>
      <c r="P85" s="55"/>
      <c r="T85" s="250"/>
      <c r="U85" s="250">
        <v>4000</v>
      </c>
      <c r="V85" s="250">
        <v>3750</v>
      </c>
      <c r="W85" s="250">
        <v>3500</v>
      </c>
      <c r="X85" s="250">
        <v>3250</v>
      </c>
      <c r="Y85" s="250">
        <v>2700</v>
      </c>
      <c r="Z85" s="250">
        <v>2500</v>
      </c>
      <c r="AA85" s="27">
        <v>0</v>
      </c>
      <c r="AB85" s="55">
        <v>0</v>
      </c>
      <c r="AC85" s="27">
        <f>SUM(Q85:AB85)</f>
        <v>19700</v>
      </c>
    </row>
    <row r="86" spans="1:29" s="27" customFormat="1" x14ac:dyDescent="0.2">
      <c r="A86" s="27" t="str">
        <f>A72&amp;" år 0"</f>
        <v>Äldre energirenoverad kontorsbyggnad år 0</v>
      </c>
      <c r="B86" s="7">
        <v>0</v>
      </c>
      <c r="C86" s="27">
        <v>0</v>
      </c>
      <c r="D86" s="27">
        <v>0</v>
      </c>
      <c r="E86" s="250">
        <v>1500</v>
      </c>
      <c r="F86" s="250">
        <v>2100</v>
      </c>
      <c r="G86" s="250">
        <v>2000</v>
      </c>
      <c r="H86" s="250">
        <v>1800</v>
      </c>
      <c r="I86" s="250">
        <v>1500</v>
      </c>
      <c r="J86" s="250">
        <v>1200</v>
      </c>
      <c r="K86" s="250"/>
      <c r="L86" s="250"/>
      <c r="M86" s="28"/>
      <c r="N86" s="20">
        <f>SUM(B86:M86)</f>
        <v>10100</v>
      </c>
      <c r="P86" s="55"/>
      <c r="Q86" s="27">
        <v>0</v>
      </c>
      <c r="R86" s="27">
        <v>0</v>
      </c>
      <c r="S86" s="27">
        <v>0</v>
      </c>
      <c r="T86" s="250">
        <v>2000</v>
      </c>
      <c r="U86" s="250">
        <v>3000</v>
      </c>
      <c r="V86" s="250">
        <v>2900</v>
      </c>
      <c r="W86" s="250">
        <v>2600</v>
      </c>
      <c r="X86" s="250">
        <v>2100</v>
      </c>
      <c r="Y86" s="250">
        <v>1500</v>
      </c>
      <c r="Z86" s="250"/>
      <c r="AC86" s="27">
        <f>SUM(Q86:AB86)</f>
        <v>14100</v>
      </c>
    </row>
    <row r="87" spans="1:29" s="27" customFormat="1" x14ac:dyDescent="0.2">
      <c r="B87" s="9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1"/>
      <c r="N87" s="21">
        <f t="shared" ref="N87" si="97">SUM(B87:M87)</f>
        <v>0</v>
      </c>
      <c r="P87" s="55"/>
    </row>
    <row r="88" spans="1:29" s="27" customFormat="1" x14ac:dyDescent="0.2">
      <c r="A88" s="24" t="str">
        <f>A76&amp;" år -1"</f>
        <v>Energirenoverat miljonprogram år -1</v>
      </c>
      <c r="B88" s="24"/>
      <c r="C88" s="17"/>
      <c r="D88" s="17"/>
      <c r="E88" s="17"/>
      <c r="F88" s="17">
        <v>4000</v>
      </c>
      <c r="G88" s="17">
        <v>5000</v>
      </c>
      <c r="H88" s="17">
        <v>4000</v>
      </c>
      <c r="I88" s="17">
        <v>3500</v>
      </c>
      <c r="J88" s="17">
        <v>3000</v>
      </c>
      <c r="K88" s="158">
        <v>2600</v>
      </c>
      <c r="L88" s="158">
        <v>0</v>
      </c>
      <c r="M88" s="159">
        <v>0</v>
      </c>
      <c r="N88" s="23">
        <f>SUM(B88:M88)</f>
        <v>22100</v>
      </c>
      <c r="P88" s="55"/>
      <c r="Q88" s="24"/>
      <c r="R88" s="17"/>
      <c r="S88" s="17"/>
      <c r="T88" s="17"/>
      <c r="U88" s="17">
        <v>5000</v>
      </c>
      <c r="V88" s="17">
        <v>6500</v>
      </c>
      <c r="W88" s="17">
        <v>5300</v>
      </c>
      <c r="X88" s="17">
        <v>4600</v>
      </c>
      <c r="Y88" s="17">
        <v>3800</v>
      </c>
      <c r="Z88" s="158">
        <v>3300</v>
      </c>
      <c r="AA88" s="158">
        <v>0</v>
      </c>
      <c r="AB88" s="159">
        <v>0</v>
      </c>
      <c r="AC88" s="23">
        <f>SUM(Q88:AB88)</f>
        <v>28500</v>
      </c>
    </row>
    <row r="89" spans="1:29" s="27" customFormat="1" x14ac:dyDescent="0.2">
      <c r="A89" s="7" t="str">
        <f>A76&amp;" år 0"</f>
        <v>Energirenoverat miljonprogram år 0</v>
      </c>
      <c r="B89" s="7">
        <v>0</v>
      </c>
      <c r="C89" s="27">
        <v>0</v>
      </c>
      <c r="D89" s="27">
        <v>0</v>
      </c>
      <c r="E89" s="27">
        <v>2000</v>
      </c>
      <c r="F89" s="107">
        <v>3000</v>
      </c>
      <c r="G89" s="107">
        <v>3000</v>
      </c>
      <c r="H89" s="107">
        <v>2700</v>
      </c>
      <c r="I89" s="239">
        <v>2200</v>
      </c>
      <c r="J89" s="239">
        <v>1600</v>
      </c>
      <c r="K89" s="107"/>
      <c r="L89" s="107"/>
      <c r="M89" s="237"/>
      <c r="N89" s="20">
        <f>SUM(B89:M89)</f>
        <v>14500</v>
      </c>
      <c r="P89" s="55"/>
      <c r="Q89" s="7">
        <v>0</v>
      </c>
      <c r="R89" s="27">
        <v>0</v>
      </c>
      <c r="S89" s="27">
        <v>0</v>
      </c>
      <c r="T89" s="27">
        <v>2600</v>
      </c>
      <c r="U89" s="107">
        <v>3700</v>
      </c>
      <c r="V89" s="107">
        <v>3700</v>
      </c>
      <c r="W89" s="107">
        <v>3400</v>
      </c>
      <c r="X89" s="239">
        <v>2700</v>
      </c>
      <c r="Y89" s="239">
        <v>2100</v>
      </c>
      <c r="Z89" s="107"/>
      <c r="AA89" s="107"/>
      <c r="AB89" s="237"/>
      <c r="AC89" s="23">
        <f>SUM(Q89:AB89)</f>
        <v>18200</v>
      </c>
    </row>
    <row r="90" spans="1:29" s="27" customFormat="1" x14ac:dyDescent="0.2">
      <c r="A90" s="9"/>
      <c r="B90" s="234"/>
      <c r="C90" s="235"/>
      <c r="D90" s="235"/>
      <c r="E90" s="236"/>
      <c r="F90" s="10"/>
      <c r="G90" s="10"/>
      <c r="H90" s="10"/>
      <c r="I90" s="10"/>
      <c r="J90" s="10"/>
      <c r="K90" s="235"/>
      <c r="L90" s="235"/>
      <c r="M90" s="238"/>
      <c r="N90" s="21"/>
      <c r="P90" s="55"/>
      <c r="Q90" s="234"/>
      <c r="R90" s="235"/>
      <c r="S90" s="235"/>
      <c r="T90" s="236"/>
      <c r="U90" s="10"/>
      <c r="V90" s="10"/>
      <c r="W90" s="10"/>
      <c r="X90" s="10"/>
      <c r="Y90" s="10"/>
      <c r="Z90" s="235"/>
      <c r="AA90" s="235"/>
      <c r="AB90" s="238"/>
      <c r="AC90" s="21"/>
    </row>
    <row r="91" spans="1:29" s="27" customFormat="1" x14ac:dyDescent="0.2">
      <c r="P91" s="55"/>
    </row>
    <row r="92" spans="1:29" s="27" customFormat="1" x14ac:dyDescent="0.2">
      <c r="P92" s="55"/>
    </row>
    <row r="93" spans="1:29" s="49" customFormat="1" x14ac:dyDescent="0.2">
      <c r="A93" s="62" t="s">
        <v>75</v>
      </c>
    </row>
    <row r="94" spans="1:29" s="68" customFormat="1" x14ac:dyDescent="0.2">
      <c r="A94" s="67"/>
    </row>
    <row r="95" spans="1:29" x14ac:dyDescent="0.2">
      <c r="A95" s="37" t="str">
        <f>A14</f>
        <v xml:space="preserve"> Modern energieffektiv kontorsbyggnad</v>
      </c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</row>
    <row r="96" spans="1:29" x14ac:dyDescent="0.2">
      <c r="A96" s="3">
        <f>A15</f>
        <v>1400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>
        <f>P15</f>
        <v>2100</v>
      </c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x14ac:dyDescent="0.2">
      <c r="A97" t="s">
        <v>76</v>
      </c>
      <c r="B97">
        <v>121</v>
      </c>
      <c r="C97" t="s">
        <v>86</v>
      </c>
      <c r="P97" t="s">
        <v>76</v>
      </c>
      <c r="Q97">
        <f>11*12</f>
        <v>132</v>
      </c>
      <c r="R97" t="s">
        <v>86</v>
      </c>
    </row>
    <row r="98" spans="1:29" x14ac:dyDescent="0.2">
      <c r="A98" t="s">
        <v>78</v>
      </c>
      <c r="B98">
        <v>113</v>
      </c>
      <c r="C98" t="s">
        <v>87</v>
      </c>
      <c r="P98" t="s">
        <v>78</v>
      </c>
      <c r="Q98">
        <v>150</v>
      </c>
      <c r="R98" t="s">
        <v>87</v>
      </c>
    </row>
    <row r="99" spans="1:29" ht="16" thickBot="1" x14ac:dyDescent="0.25">
      <c r="A99" s="65" t="s">
        <v>77</v>
      </c>
      <c r="B99" s="65">
        <v>4</v>
      </c>
      <c r="C99" s="65" t="s">
        <v>87</v>
      </c>
      <c r="P99" s="65" t="s">
        <v>77</v>
      </c>
      <c r="Q99" s="65">
        <v>4</v>
      </c>
      <c r="R99" s="65" t="s">
        <v>87</v>
      </c>
    </row>
    <row r="100" spans="1:29" ht="16" thickTop="1" x14ac:dyDescent="0.2">
      <c r="A100" t="s">
        <v>85</v>
      </c>
      <c r="B100" s="66">
        <f>(B97*'ÄNDRINGSBARA PARAMETRAR'!$B$107+B98*B97*'ÄNDRINGSBARA PARAMETRAR'!$B$108+B99*B97*'ÄNDRINGSBARA PARAMETRAR'!$B$109)/1000000</f>
        <v>3.5815999999999999</v>
      </c>
      <c r="C100" t="s">
        <v>88</v>
      </c>
      <c r="P100" t="s">
        <v>85</v>
      </c>
      <c r="Q100" s="66">
        <f>(Q97*'ÄNDRINGSBARA PARAMETRAR'!$B$107+Q98*Q97*'ÄNDRINGSBARA PARAMETRAR'!$B$108+Q99*Q97*'ÄNDRINGSBARA PARAMETRAR'!$B$109)/1000000</f>
        <v>4.8840000000000003</v>
      </c>
      <c r="R100" t="s">
        <v>88</v>
      </c>
    </row>
    <row r="102" spans="1:29" x14ac:dyDescent="0.2">
      <c r="A102" s="59" t="str">
        <f>A32</f>
        <v>Äldre energirenoverad kontorsbyggnad</v>
      </c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</row>
    <row r="103" spans="1:29" x14ac:dyDescent="0.2">
      <c r="A103" s="60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</row>
    <row r="104" spans="1:29" x14ac:dyDescent="0.2">
      <c r="A104" t="s">
        <v>76</v>
      </c>
      <c r="B104">
        <f>15*15</f>
        <v>225</v>
      </c>
      <c r="C104" t="s">
        <v>86</v>
      </c>
      <c r="P104" t="s">
        <v>76</v>
      </c>
      <c r="Q104">
        <f>17*18</f>
        <v>306</v>
      </c>
      <c r="R104" t="s">
        <v>86</v>
      </c>
    </row>
    <row r="105" spans="1:29" x14ac:dyDescent="0.2">
      <c r="A105" t="s">
        <v>78</v>
      </c>
      <c r="B105">
        <v>153</v>
      </c>
      <c r="C105" t="s">
        <v>87</v>
      </c>
      <c r="P105" t="s">
        <v>78</v>
      </c>
      <c r="Q105">
        <v>152</v>
      </c>
      <c r="R105" t="s">
        <v>87</v>
      </c>
    </row>
    <row r="106" spans="1:29" ht="16" thickBot="1" x14ac:dyDescent="0.25">
      <c r="A106" s="65" t="s">
        <v>77</v>
      </c>
      <c r="B106" s="65">
        <v>4</v>
      </c>
      <c r="C106" s="65" t="s">
        <v>87</v>
      </c>
      <c r="P106" s="65" t="s">
        <v>77</v>
      </c>
      <c r="Q106" s="65">
        <v>4</v>
      </c>
      <c r="R106" s="65" t="s">
        <v>87</v>
      </c>
    </row>
    <row r="107" spans="1:29" ht="16" thickTop="1" x14ac:dyDescent="0.2">
      <c r="A107" t="s">
        <v>85</v>
      </c>
      <c r="B107" s="66">
        <f>(B104*'ÄNDRINGSBARA PARAMETRAR'!$B$107+B105*B104*'ÄNDRINGSBARA PARAMETRAR'!$B$108+B106*B104*'ÄNDRINGSBARA PARAMETRAR'!$B$109)/1000000</f>
        <v>8.4600000000000009</v>
      </c>
      <c r="C107" t="s">
        <v>88</v>
      </c>
      <c r="P107" t="s">
        <v>85</v>
      </c>
      <c r="Q107" s="66">
        <f>(Q104*'ÄNDRINGSBARA PARAMETRAR'!$B$107+Q105*Q104*'ÄNDRINGSBARA PARAMETRAR'!$B$108+Q106*Q104*'ÄNDRINGSBARA PARAMETRAR'!$B$109)/1000000</f>
        <v>11.4444</v>
      </c>
      <c r="R107" t="s">
        <v>88</v>
      </c>
    </row>
    <row r="109" spans="1:29" x14ac:dyDescent="0.2">
      <c r="A109" s="63" t="str">
        <f>A50</f>
        <v>Energirenoverat miljonprogram</v>
      </c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</row>
    <row r="110" spans="1:29" x14ac:dyDescent="0.2">
      <c r="A110" s="38"/>
      <c r="B110" s="38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</row>
    <row r="111" spans="1:29" x14ac:dyDescent="0.2">
      <c r="A111" t="s">
        <v>76</v>
      </c>
      <c r="B111">
        <f>18*19</f>
        <v>342</v>
      </c>
      <c r="C111" t="s">
        <v>86</v>
      </c>
      <c r="P111" t="s">
        <v>76</v>
      </c>
      <c r="Q111">
        <f>21*21</f>
        <v>441</v>
      </c>
      <c r="R111" t="s">
        <v>86</v>
      </c>
    </row>
    <row r="112" spans="1:29" x14ac:dyDescent="0.2">
      <c r="A112" t="s">
        <v>78</v>
      </c>
      <c r="B112">
        <v>152</v>
      </c>
      <c r="C112" t="s">
        <v>87</v>
      </c>
      <c r="P112" t="s">
        <v>78</v>
      </c>
      <c r="Q112">
        <v>152</v>
      </c>
      <c r="R112" t="s">
        <v>87</v>
      </c>
    </row>
    <row r="113" spans="1:18" ht="16" thickBot="1" x14ac:dyDescent="0.25">
      <c r="A113" s="65" t="s">
        <v>77</v>
      </c>
      <c r="B113" s="65">
        <v>4</v>
      </c>
      <c r="C113" s="65" t="s">
        <v>87</v>
      </c>
      <c r="P113" s="65" t="s">
        <v>77</v>
      </c>
      <c r="Q113" s="65">
        <v>4</v>
      </c>
      <c r="R113" s="65" t="s">
        <v>87</v>
      </c>
    </row>
    <row r="114" spans="1:18" ht="16" thickTop="1" x14ac:dyDescent="0.2">
      <c r="A114" t="s">
        <v>85</v>
      </c>
      <c r="B114" s="66">
        <f>(B111*'ÄNDRINGSBARA PARAMETRAR'!$B$107+B112*B111*'ÄNDRINGSBARA PARAMETRAR'!$B$108+B113*B111*'ÄNDRINGSBARA PARAMETRAR'!$B$109)/1000000</f>
        <v>12.790800000000001</v>
      </c>
      <c r="C114" t="s">
        <v>88</v>
      </c>
      <c r="P114" t="s">
        <v>85</v>
      </c>
      <c r="Q114" s="66">
        <f>(Q111*'ÄNDRINGSBARA PARAMETRAR'!$B$107+Q112*Q111*'ÄNDRINGSBARA PARAMETRAR'!$B$108+Q113*Q111*'ÄNDRINGSBARA PARAMETRAR'!$B$109)/1000000</f>
        <v>16.493400000000001</v>
      </c>
      <c r="R114" t="s">
        <v>88</v>
      </c>
    </row>
  </sheetData>
  <sheetProtection sheet="1" objects="1" scenarios="1"/>
  <pageMargins left="0.7" right="0.7" top="0.75" bottom="0.75" header="0.3" footer="0.3"/>
  <pageSetup paperSize="9" scale="2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 tint="-0.249977111117893"/>
  </sheetPr>
  <dimension ref="A1:BG275"/>
  <sheetViews>
    <sheetView zoomScale="80" zoomScaleNormal="80" zoomScalePageLayoutView="80" workbookViewId="0">
      <selection activeCell="B220" sqref="B220"/>
    </sheetView>
  </sheetViews>
  <sheetFormatPr baseColWidth="10" defaultColWidth="8.83203125" defaultRowHeight="15" x14ac:dyDescent="0.2"/>
  <cols>
    <col min="1" max="1" width="67.6640625" customWidth="1"/>
    <col min="2" max="2" width="14.1640625" customWidth="1"/>
    <col min="3" max="14" width="8.6640625" customWidth="1"/>
    <col min="15" max="15" width="19.1640625" customWidth="1"/>
    <col min="16" max="16" width="13.83203125" customWidth="1"/>
    <col min="17" max="17" width="8.83203125" customWidth="1"/>
    <col min="18" max="18" width="13.83203125" bestFit="1" customWidth="1"/>
    <col min="19" max="21" width="12.1640625" bestFit="1" customWidth="1"/>
    <col min="22" max="22" width="11.1640625" bestFit="1" customWidth="1"/>
    <col min="23" max="26" width="12.1640625" bestFit="1" customWidth="1"/>
    <col min="27" max="27" width="9.6640625" customWidth="1"/>
    <col min="28" max="28" width="10.83203125" customWidth="1"/>
    <col min="29" max="29" width="19.1640625" customWidth="1"/>
    <col min="30" max="30" width="9.1640625" bestFit="1" customWidth="1"/>
    <col min="31" max="31" width="18.1640625" customWidth="1"/>
    <col min="32" max="41" width="6.33203125" customWidth="1"/>
    <col min="42" max="43" width="5.1640625" customWidth="1"/>
    <col min="44" max="44" width="9.83203125" customWidth="1"/>
    <col min="46" max="46" width="18.1640625" customWidth="1"/>
    <col min="47" max="47" width="10.83203125" customWidth="1"/>
    <col min="48" max="59" width="5.1640625" customWidth="1"/>
    <col min="62" max="62" width="12.1640625" bestFit="1" customWidth="1"/>
  </cols>
  <sheetData>
    <row r="1" spans="1:59" s="2" customFormat="1" ht="19" x14ac:dyDescent="0.25">
      <c r="A1" s="2" t="s">
        <v>7</v>
      </c>
    </row>
    <row r="2" spans="1:59" s="1" customFormat="1" ht="11" x14ac:dyDescent="0.15">
      <c r="A2" s="123" t="str">
        <f>INDATA!A2</f>
        <v>Fastighetsnära säsongslagring av fjärrvärme, Energiforsk rapport 2016:321, år 2016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</row>
    <row r="3" spans="1:59" s="1" customFormat="1" ht="11" x14ac:dyDescent="0.15">
      <c r="A3" s="117" t="str">
        <f>INDATA!A3</f>
        <v>Utvecklat av DEVCCO och SP Sveriges Tekniska Forskningsintitut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</row>
    <row r="4" spans="1:59" s="1" customFormat="1" ht="11" x14ac:dyDescent="0.15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9"/>
    </row>
    <row r="5" spans="1:59" s="1" customFormat="1" ht="11" x14ac:dyDescent="0.15">
      <c r="A5" s="117" t="str">
        <f>INDATA!A5</f>
        <v>Oskar Räftegård och Mikael Rosén, SP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9"/>
    </row>
    <row r="6" spans="1:59" s="1" customFormat="1" ht="11" x14ac:dyDescent="0.15">
      <c r="A6" s="117" t="str">
        <f>INDATA!A6</f>
        <v>Joakim Nilsson och Jonathan Cygnaeus, DEVCCO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9"/>
    </row>
    <row r="7" spans="1:59" s="1" customFormat="1" ht="11" x14ac:dyDescent="0.15">
      <c r="A7" s="120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2"/>
    </row>
    <row r="8" spans="1:59" x14ac:dyDescent="0.2">
      <c r="A8" s="68"/>
    </row>
    <row r="9" spans="1:59" x14ac:dyDescent="0.2">
      <c r="A9" s="281" t="s">
        <v>8</v>
      </c>
      <c r="B9" s="68"/>
    </row>
    <row r="10" spans="1:59" x14ac:dyDescent="0.2">
      <c r="A10" s="67" t="s">
        <v>125</v>
      </c>
      <c r="B10" s="68"/>
    </row>
    <row r="11" spans="1:59" s="68" customFormat="1" x14ac:dyDescent="0.2">
      <c r="A11" s="171" t="s">
        <v>101</v>
      </c>
      <c r="B11" s="100">
        <f>INDATA!C44</f>
        <v>3</v>
      </c>
      <c r="C11" s="68" t="str">
        <f>UTDATA!B9</f>
        <v>Energirenoverat miljonprogram</v>
      </c>
      <c r="P11" t="s">
        <v>132</v>
      </c>
      <c r="AE11" t="s">
        <v>133</v>
      </c>
      <c r="AT11" s="67" t="s">
        <v>134</v>
      </c>
    </row>
    <row r="12" spans="1:59" s="68" customFormat="1" x14ac:dyDescent="0.2">
      <c r="A12" s="99" t="s">
        <v>102</v>
      </c>
      <c r="B12" s="256">
        <f>INDATA!C45</f>
        <v>5200</v>
      </c>
      <c r="C12" s="172">
        <f>(B12-P14)/AT14</f>
        <v>0.49100554540323105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</row>
    <row r="13" spans="1:59" s="68" customFormat="1" x14ac:dyDescent="0.2">
      <c r="A13" s="103"/>
      <c r="B13" s="104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</row>
    <row r="14" spans="1:59" s="68" customFormat="1" x14ac:dyDescent="0.2">
      <c r="A14" s="105">
        <f>P14+C12*AT14</f>
        <v>5200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P14" s="98">
        <f>IF($B$11=1,'LÅSTA PARAMETRAR'!A15,IF($B$11=2,'LÅSTA PARAMETRAR'!A33,'LÅSTA PARAMETRAR'!A51))</f>
        <v>4175.0208140610557</v>
      </c>
      <c r="Q14" s="101"/>
      <c r="AE14" s="98">
        <f>IF($B$11=1,'LÅSTA PARAMETRAR'!P15,IF($B$11=2,'LÅSTA PARAMETRAR'!P33,'LÅSTA PARAMETRAR'!P51))</f>
        <v>6262.5312210915818</v>
      </c>
      <c r="AT14" s="88">
        <f>AE14-P14</f>
        <v>2087.510407030526</v>
      </c>
      <c r="AU14" s="82"/>
    </row>
    <row r="15" spans="1:59" x14ac:dyDescent="0.2">
      <c r="A15" s="50" t="s">
        <v>247</v>
      </c>
      <c r="B15" s="16" t="s">
        <v>20</v>
      </c>
      <c r="C15" s="31" t="s">
        <v>21</v>
      </c>
      <c r="D15" s="31" t="s">
        <v>22</v>
      </c>
      <c r="E15" s="31" t="s">
        <v>23</v>
      </c>
      <c r="F15" s="31" t="s">
        <v>24</v>
      </c>
      <c r="G15" s="31" t="s">
        <v>25</v>
      </c>
      <c r="H15" s="31" t="s">
        <v>26</v>
      </c>
      <c r="I15" s="31" t="s">
        <v>27</v>
      </c>
      <c r="J15" s="31" t="s">
        <v>28</v>
      </c>
      <c r="K15" s="31" t="s">
        <v>29</v>
      </c>
      <c r="L15" s="31" t="s">
        <v>30</v>
      </c>
      <c r="M15" s="31" t="s">
        <v>31</v>
      </c>
      <c r="N15" s="22" t="s">
        <v>53</v>
      </c>
      <c r="P15" s="88" t="str">
        <f>IF($B$11=1,'LÅSTA PARAMETRAR'!A16,IF($B$11=2,'LÅSTA PARAMETRAR'!A34,'LÅSTA PARAMETRAR'!A52))</f>
        <v>Byggnaden</v>
      </c>
      <c r="Q15" s="88" t="str">
        <f>IF($B$11=1,'LÅSTA PARAMETRAR'!B16,IF($B$11=2,'LÅSTA PARAMETRAR'!B34,'LÅSTA PARAMETRAR'!B52))</f>
        <v>jan</v>
      </c>
      <c r="R15" s="88" t="str">
        <f>IF($B$11=1,'LÅSTA PARAMETRAR'!C16,IF($B$11=2,'LÅSTA PARAMETRAR'!C34,'LÅSTA PARAMETRAR'!C52))</f>
        <v>feb</v>
      </c>
      <c r="S15" s="88" t="str">
        <f>IF($B$11=1,'LÅSTA PARAMETRAR'!D16,IF($B$11=2,'LÅSTA PARAMETRAR'!D34,'LÅSTA PARAMETRAR'!D52))</f>
        <v>mar</v>
      </c>
      <c r="T15" s="88" t="str">
        <f>IF($B$11=1,'LÅSTA PARAMETRAR'!E16,IF($B$11=2,'LÅSTA PARAMETRAR'!E34,'LÅSTA PARAMETRAR'!E52))</f>
        <v>apr</v>
      </c>
      <c r="U15" s="88" t="str">
        <f>IF($B$11=1,'LÅSTA PARAMETRAR'!F16,IF($B$11=2,'LÅSTA PARAMETRAR'!F34,'LÅSTA PARAMETRAR'!F52))</f>
        <v>maj</v>
      </c>
      <c r="V15" s="88" t="str">
        <f>IF($B$11=1,'LÅSTA PARAMETRAR'!G16,IF($B$11=2,'LÅSTA PARAMETRAR'!G34,'LÅSTA PARAMETRAR'!G52))</f>
        <v>jun</v>
      </c>
      <c r="W15" s="88" t="str">
        <f>IF($B$11=1,'LÅSTA PARAMETRAR'!H16,IF($B$11=2,'LÅSTA PARAMETRAR'!H34,'LÅSTA PARAMETRAR'!H52))</f>
        <v>jul</v>
      </c>
      <c r="X15" s="88" t="str">
        <f>IF($B$11=1,'LÅSTA PARAMETRAR'!I16,IF($B$11=2,'LÅSTA PARAMETRAR'!I34,'LÅSTA PARAMETRAR'!I52))</f>
        <v>aug</v>
      </c>
      <c r="Y15" s="88" t="str">
        <f>IF($B$11=1,'LÅSTA PARAMETRAR'!J16,IF($B$11=2,'LÅSTA PARAMETRAR'!J34,'LÅSTA PARAMETRAR'!J52))</f>
        <v>sep</v>
      </c>
      <c r="Z15" s="88" t="str">
        <f>IF($B$11=1,'LÅSTA PARAMETRAR'!K16,IF($B$11=2,'LÅSTA PARAMETRAR'!K34,'LÅSTA PARAMETRAR'!K52))</f>
        <v>okt</v>
      </c>
      <c r="AA15" s="88" t="str">
        <f>IF($B$11=1,'LÅSTA PARAMETRAR'!L16,IF($B$11=2,'LÅSTA PARAMETRAR'!L34,'LÅSTA PARAMETRAR'!L52))</f>
        <v>nov</v>
      </c>
      <c r="AB15" s="88" t="str">
        <f>IF($B$11=1,'LÅSTA PARAMETRAR'!M16,IF($B$11=2,'LÅSTA PARAMETRAR'!M34,'LÅSTA PARAMETRAR'!M52))</f>
        <v>dec</v>
      </c>
      <c r="AC15" s="88" t="str">
        <f>IF($B$11=1,'LÅSTA PARAMETRAR'!N16,IF($B$11=2,'LÅSTA PARAMETRAR'!N34,'LÅSTA PARAMETRAR'!N52))</f>
        <v>TOT</v>
      </c>
      <c r="AD15" s="91"/>
      <c r="AE15" s="88" t="str">
        <f>IF($B$11=1,'LÅSTA PARAMETRAR'!P16,IF($B$11=2,'LÅSTA PARAMETRAR'!P34,'LÅSTA PARAMETRAR'!P52))</f>
        <v>Byggnaden</v>
      </c>
      <c r="AF15" s="88" t="str">
        <f>IF($B$11=1,'LÅSTA PARAMETRAR'!Q16,IF($B$11=2,'LÅSTA PARAMETRAR'!Q34,'LÅSTA PARAMETRAR'!Q52))</f>
        <v>jan</v>
      </c>
      <c r="AG15" s="88" t="str">
        <f>IF($B$11=1,'LÅSTA PARAMETRAR'!R16,IF($B$11=2,'LÅSTA PARAMETRAR'!R34,'LÅSTA PARAMETRAR'!R52))</f>
        <v>feb</v>
      </c>
      <c r="AH15" s="88" t="str">
        <f>IF($B$11=1,'LÅSTA PARAMETRAR'!S16,IF($B$11=2,'LÅSTA PARAMETRAR'!S34,'LÅSTA PARAMETRAR'!S52))</f>
        <v>mar</v>
      </c>
      <c r="AI15" s="88" t="str">
        <f>IF($B$11=1,'LÅSTA PARAMETRAR'!T16,IF($B$11=2,'LÅSTA PARAMETRAR'!T34,'LÅSTA PARAMETRAR'!T52))</f>
        <v>apr</v>
      </c>
      <c r="AJ15" s="88" t="str">
        <f>IF($B$11=1,'LÅSTA PARAMETRAR'!U16,IF($B$11=2,'LÅSTA PARAMETRAR'!U34,'LÅSTA PARAMETRAR'!U52))</f>
        <v>maj</v>
      </c>
      <c r="AK15" s="88" t="str">
        <f>IF($B$11=1,'LÅSTA PARAMETRAR'!V16,IF($B$11=2,'LÅSTA PARAMETRAR'!V34,'LÅSTA PARAMETRAR'!V52))</f>
        <v>jun</v>
      </c>
      <c r="AL15" s="88" t="str">
        <f>IF($B$11=1,'LÅSTA PARAMETRAR'!W16,IF($B$11=2,'LÅSTA PARAMETRAR'!W34,'LÅSTA PARAMETRAR'!W52))</f>
        <v>jul</v>
      </c>
      <c r="AM15" s="88" t="str">
        <f>IF($B$11=1,'LÅSTA PARAMETRAR'!X16,IF($B$11=2,'LÅSTA PARAMETRAR'!X34,'LÅSTA PARAMETRAR'!X52))</f>
        <v>aug</v>
      </c>
      <c r="AN15" s="88" t="str">
        <f>IF($B$11=1,'LÅSTA PARAMETRAR'!Y16,IF($B$11=2,'LÅSTA PARAMETRAR'!Y34,'LÅSTA PARAMETRAR'!Y52))</f>
        <v>sep</v>
      </c>
      <c r="AO15" s="88" t="str">
        <f>IF($B$11=1,'LÅSTA PARAMETRAR'!Z16,IF($B$11=2,'LÅSTA PARAMETRAR'!Z34,'LÅSTA PARAMETRAR'!Z52))</f>
        <v>okt</v>
      </c>
      <c r="AP15" s="88" t="str">
        <f>IF($B$11=1,'LÅSTA PARAMETRAR'!AA16,IF($B$11=2,'LÅSTA PARAMETRAR'!AA34,'LÅSTA PARAMETRAR'!AA52))</f>
        <v>nov</v>
      </c>
      <c r="AQ15" s="88" t="str">
        <f>IF($B$11=1,'LÅSTA PARAMETRAR'!AB16,IF($B$11=2,'LÅSTA PARAMETRAR'!AB34,'LÅSTA PARAMETRAR'!AB52))</f>
        <v>dec</v>
      </c>
      <c r="AR15" s="88" t="str">
        <f>IF($B$11=1,'LÅSTA PARAMETRAR'!AC16,IF($B$11=2,'LÅSTA PARAMETRAR'!AC34,'LÅSTA PARAMETRAR'!AC52))</f>
        <v>TOT</v>
      </c>
      <c r="AT15" s="51" t="s">
        <v>100</v>
      </c>
      <c r="AU15" s="17" t="s">
        <v>20</v>
      </c>
      <c r="AV15" s="17" t="s">
        <v>21</v>
      </c>
      <c r="AW15" s="17" t="s">
        <v>22</v>
      </c>
      <c r="AX15" s="17" t="s">
        <v>23</v>
      </c>
      <c r="AY15" s="17" t="s">
        <v>24</v>
      </c>
      <c r="AZ15" s="17" t="s">
        <v>25</v>
      </c>
      <c r="BA15" s="17" t="s">
        <v>26</v>
      </c>
      <c r="BB15" s="17" t="s">
        <v>27</v>
      </c>
      <c r="BC15" s="17" t="s">
        <v>28</v>
      </c>
      <c r="BD15" s="17" t="s">
        <v>29</v>
      </c>
      <c r="BE15" s="17" t="s">
        <v>30</v>
      </c>
      <c r="BF15" s="17" t="s">
        <v>31</v>
      </c>
      <c r="BG15" s="57" t="s">
        <v>53</v>
      </c>
    </row>
    <row r="16" spans="1:59" x14ac:dyDescent="0.2">
      <c r="A16" s="24" t="s">
        <v>63</v>
      </c>
      <c r="B16" s="254">
        <f t="shared" ref="B16:N18" si="0">Q16+AU16*$C$12</f>
        <v>133.68876500529836</v>
      </c>
      <c r="C16" s="254">
        <f t="shared" si="0"/>
        <v>133.68876500529836</v>
      </c>
      <c r="D16" s="254">
        <f t="shared" si="0"/>
        <v>133.68876500529836</v>
      </c>
      <c r="E16" s="254">
        <f t="shared" si="0"/>
        <v>133.68876500529836</v>
      </c>
      <c r="F16" s="254">
        <f t="shared" si="0"/>
        <v>133.68876500529836</v>
      </c>
      <c r="G16" s="254">
        <f t="shared" si="0"/>
        <v>133.68876500529836</v>
      </c>
      <c r="H16" s="254">
        <f t="shared" si="0"/>
        <v>133.68876500529836</v>
      </c>
      <c r="I16" s="254">
        <f t="shared" si="0"/>
        <v>133.68876500529836</v>
      </c>
      <c r="J16" s="254">
        <f t="shared" si="0"/>
        <v>133.68876500529836</v>
      </c>
      <c r="K16" s="254">
        <f t="shared" si="0"/>
        <v>133.68876500529836</v>
      </c>
      <c r="L16" s="254">
        <f t="shared" si="0"/>
        <v>133.68876500529836</v>
      </c>
      <c r="M16" s="254">
        <f t="shared" si="0"/>
        <v>133.68876500529836</v>
      </c>
      <c r="N16" s="254">
        <f t="shared" si="0"/>
        <v>1604.2651800635804</v>
      </c>
      <c r="P16" s="88" t="str">
        <f>IF($B$11=1,'LÅSTA PARAMETRAR'!A17,IF($B$11=2,'LÅSTA PARAMETRAR'!A35,'LÅSTA PARAMETRAR'!A53))</f>
        <v>TVV</v>
      </c>
      <c r="Q16" s="88">
        <f>INDEX('LÅSTA PARAMETRAR'!$1:$1048576,ROW(B16)+$B$11*18-17,COLUMN(B16))</f>
        <v>107.3371877890842</v>
      </c>
      <c r="R16" s="88">
        <f>INDEX('LÅSTA PARAMETRAR'!$1:$1048576,ROW(C16)+$B$11*18-17,COLUMN(C16))</f>
        <v>107.3371877890842</v>
      </c>
      <c r="S16" s="88">
        <f>INDEX('LÅSTA PARAMETRAR'!$1:$1048576,ROW(D16)+$B$11*18-17,COLUMN(D16))</f>
        <v>107.3371877890842</v>
      </c>
      <c r="T16" s="88">
        <f>INDEX('LÅSTA PARAMETRAR'!$1:$1048576,ROW(E16)+$B$11*18-17,COLUMN(E16))</f>
        <v>107.3371877890842</v>
      </c>
      <c r="U16" s="88">
        <f>INDEX('LÅSTA PARAMETRAR'!$1:$1048576,ROW(F16)+$B$11*18-17,COLUMN(F16))</f>
        <v>107.3371877890842</v>
      </c>
      <c r="V16" s="88">
        <f>INDEX('LÅSTA PARAMETRAR'!$1:$1048576,ROW(G16)+$B$11*18-17,COLUMN(G16))</f>
        <v>107.3371877890842</v>
      </c>
      <c r="W16" s="88">
        <f>INDEX('LÅSTA PARAMETRAR'!$1:$1048576,ROW(H16)+$B$11*18-17,COLUMN(H16))</f>
        <v>107.3371877890842</v>
      </c>
      <c r="X16" s="88">
        <f>INDEX('LÅSTA PARAMETRAR'!$1:$1048576,ROW(I16)+$B$11*18-17,COLUMN(I16))</f>
        <v>107.3371877890842</v>
      </c>
      <c r="Y16" s="88">
        <f>INDEX('LÅSTA PARAMETRAR'!$1:$1048576,ROW(J16)+$B$11*18-17,COLUMN(J16))</f>
        <v>107.3371877890842</v>
      </c>
      <c r="Z16" s="88">
        <f>INDEX('LÅSTA PARAMETRAR'!$1:$1048576,ROW(K16)+$B$11*18-17,COLUMN(K16))</f>
        <v>107.3371877890842</v>
      </c>
      <c r="AA16" s="88">
        <f>INDEX('LÅSTA PARAMETRAR'!$1:$1048576,ROW(L16)+$B$11*18-17,COLUMN(L16))</f>
        <v>107.3371877890842</v>
      </c>
      <c r="AB16" s="88">
        <f>INDEX('LÅSTA PARAMETRAR'!$1:$1048576,ROW(M16)+$B$11*18-17,COLUMN(M16))</f>
        <v>107.3371877890842</v>
      </c>
      <c r="AC16" s="88">
        <f>INDEX('LÅSTA PARAMETRAR'!$1:$1048576,ROW(N16)+$B$11*18-17,COLUMN(N16))</f>
        <v>1288.0462534690105</v>
      </c>
      <c r="AD16" s="102"/>
      <c r="AE16" s="88" t="str">
        <f>IF($B$11=1,'LÅSTA PARAMETRAR'!P17,IF($B$11=2,'LÅSTA PARAMETRAR'!P35,'LÅSTA PARAMETRAR'!P53))</f>
        <v>TVV</v>
      </c>
      <c r="AF16" s="88">
        <f>INDEX('LÅSTA PARAMETRAR'!$1:$1048576,ROW(Q16)+$B$11*18-17,COLUMN(Q16))</f>
        <v>161.00578168362631</v>
      </c>
      <c r="AG16" s="88">
        <f>INDEX('LÅSTA PARAMETRAR'!$1:$1048576,ROW(R16)+$B$11*18-17,COLUMN(R16))</f>
        <v>161.00578168362631</v>
      </c>
      <c r="AH16" s="88">
        <f>INDEX('LÅSTA PARAMETRAR'!$1:$1048576,ROW(S16)+$B$11*18-17,COLUMN(S16))</f>
        <v>161.00578168362631</v>
      </c>
      <c r="AI16" s="88">
        <f>INDEX('LÅSTA PARAMETRAR'!$1:$1048576,ROW(T16)+$B$11*18-17,COLUMN(T16))</f>
        <v>161.00578168362631</v>
      </c>
      <c r="AJ16" s="88">
        <f>INDEX('LÅSTA PARAMETRAR'!$1:$1048576,ROW(U16)+$B$11*18-17,COLUMN(U16))</f>
        <v>161.00578168362631</v>
      </c>
      <c r="AK16" s="88">
        <f>INDEX('LÅSTA PARAMETRAR'!$1:$1048576,ROW(V16)+$B$11*18-17,COLUMN(V16))</f>
        <v>161.00578168362631</v>
      </c>
      <c r="AL16" s="88">
        <f>INDEX('LÅSTA PARAMETRAR'!$1:$1048576,ROW(W16)+$B$11*18-17,COLUMN(W16))</f>
        <v>161.00578168362631</v>
      </c>
      <c r="AM16" s="88">
        <f>INDEX('LÅSTA PARAMETRAR'!$1:$1048576,ROW(X16)+$B$11*18-17,COLUMN(X16))</f>
        <v>161.00578168362631</v>
      </c>
      <c r="AN16" s="88">
        <f>INDEX('LÅSTA PARAMETRAR'!$1:$1048576,ROW(Y16)+$B$11*18-17,COLUMN(Y16))</f>
        <v>161.00578168362631</v>
      </c>
      <c r="AO16" s="88">
        <f>INDEX('LÅSTA PARAMETRAR'!$1:$1048576,ROW(Z16)+$B$11*18-17,COLUMN(Z16))</f>
        <v>161.00578168362631</v>
      </c>
      <c r="AP16" s="88">
        <f>INDEX('LÅSTA PARAMETRAR'!$1:$1048576,ROW(AA16)+$B$11*18-17,COLUMN(AA16))</f>
        <v>161.00578168362631</v>
      </c>
      <c r="AQ16" s="88">
        <f>INDEX('LÅSTA PARAMETRAR'!$1:$1048576,ROW(AB16)+$B$11*18-17,COLUMN(AB16))</f>
        <v>161.00578168362631</v>
      </c>
      <c r="AR16" s="88">
        <f>INDEX('LÅSTA PARAMETRAR'!$1:$1048576,ROW(AC16)+$B$11*18-17,COLUMN(AC16))</f>
        <v>1932.0693802035157</v>
      </c>
      <c r="AT16" s="23" t="s">
        <v>63</v>
      </c>
      <c r="AU16" s="88">
        <f t="shared" ref="AU16:BB18" si="1">AF16-Q16</f>
        <v>53.668593894542113</v>
      </c>
      <c r="AV16" s="88">
        <f t="shared" si="1"/>
        <v>53.668593894542113</v>
      </c>
      <c r="AW16" s="88">
        <f t="shared" si="1"/>
        <v>53.668593894542113</v>
      </c>
      <c r="AX16" s="88">
        <f t="shared" si="1"/>
        <v>53.668593894542113</v>
      </c>
      <c r="AY16" s="88">
        <f t="shared" si="1"/>
        <v>53.668593894542113</v>
      </c>
      <c r="AZ16" s="88">
        <f t="shared" si="1"/>
        <v>53.668593894542113</v>
      </c>
      <c r="BA16" s="88">
        <f t="shared" si="1"/>
        <v>53.668593894542113</v>
      </c>
      <c r="BB16" s="88">
        <f t="shared" si="1"/>
        <v>53.668593894542113</v>
      </c>
      <c r="BC16" s="88">
        <f t="shared" ref="BC16:BG18" si="2">AN16-Y16</f>
        <v>53.668593894542113</v>
      </c>
      <c r="BD16" s="88">
        <f t="shared" si="2"/>
        <v>53.668593894542113</v>
      </c>
      <c r="BE16" s="88">
        <f t="shared" si="2"/>
        <v>53.668593894542113</v>
      </c>
      <c r="BF16" s="88">
        <f t="shared" si="2"/>
        <v>53.668593894542113</v>
      </c>
      <c r="BG16" s="88">
        <f t="shared" si="2"/>
        <v>644.02312673450524</v>
      </c>
    </row>
    <row r="17" spans="1:59" x14ac:dyDescent="0.2">
      <c r="A17" s="7" t="s">
        <v>65</v>
      </c>
      <c r="B17" s="254">
        <f t="shared" si="0"/>
        <v>602.79914628154427</v>
      </c>
      <c r="C17" s="254">
        <f t="shared" si="0"/>
        <v>556.5231302197609</v>
      </c>
      <c r="D17" s="254">
        <f t="shared" si="0"/>
        <v>509.11337250364068</v>
      </c>
      <c r="E17" s="254">
        <f t="shared" si="0"/>
        <v>323.98914516814284</v>
      </c>
      <c r="F17" s="254">
        <f t="shared" si="0"/>
        <v>151.37813047179969</v>
      </c>
      <c r="G17" s="254">
        <f t="shared" si="0"/>
        <v>37.29191997469642</v>
      </c>
      <c r="H17" s="254">
        <f t="shared" si="0"/>
        <v>0</v>
      </c>
      <c r="I17" s="254">
        <f t="shared" si="0"/>
        <v>29.008923274463406</v>
      </c>
      <c r="J17" s="254">
        <f t="shared" si="0"/>
        <v>110.07029938308709</v>
      </c>
      <c r="K17" s="254">
        <f t="shared" si="0"/>
        <v>292.32445511192441</v>
      </c>
      <c r="L17" s="254">
        <f t="shared" si="0"/>
        <v>426.52017776753621</v>
      </c>
      <c r="M17" s="254">
        <f t="shared" si="0"/>
        <v>556.71611977982343</v>
      </c>
      <c r="N17" s="254">
        <f t="shared" si="0"/>
        <v>3595.7348199364196</v>
      </c>
      <c r="P17" s="88" t="str">
        <f>IF($B$11=1,'LÅSTA PARAMETRAR'!A18,IF($B$11=2,'LÅSTA PARAMETRAR'!A36,'LÅSTA PARAMETRAR'!A54))</f>
        <v>KOMFORT</v>
      </c>
      <c r="Q17" s="88">
        <f>INDEX('LÅSTA PARAMETRAR'!$1:$1048576,ROW(B17)+$B$11*18-17,COLUMN(B17))</f>
        <v>483.98057354301574</v>
      </c>
      <c r="R17" s="88">
        <f>INDEX('LÅSTA PARAMETRAR'!$1:$1048576,ROW(C17)+$B$11*18-17,COLUMN(C17))</f>
        <v>446.82608695652164</v>
      </c>
      <c r="S17" s="88">
        <f>INDEX('LÅSTA PARAMETRAR'!$1:$1048576,ROW(D17)+$B$11*18-17,COLUMN(D17))</f>
        <v>408.76133209990752</v>
      </c>
      <c r="T17" s="88">
        <f>INDEX('LÅSTA PARAMETRAR'!$1:$1048576,ROW(E17)+$B$11*18-17,COLUMN(E17))</f>
        <v>260.12719703977791</v>
      </c>
      <c r="U17" s="88">
        <f>INDEX('LÅSTA PARAMETRAR'!$1:$1048576,ROW(F17)+$B$11*18-17,COLUMN(F17))</f>
        <v>121.5397779833488</v>
      </c>
      <c r="V17" s="88">
        <f>INDEX('LÅSTA PARAMETRAR'!$1:$1048576,ROW(G17)+$B$11*18-17,COLUMN(G17))</f>
        <v>29.941258094357071</v>
      </c>
      <c r="W17" s="88">
        <f>INDEX('LÅSTA PARAMETRAR'!$1:$1048576,ROW(H17)+$B$11*18-17,COLUMN(H17))</f>
        <v>0</v>
      </c>
      <c r="X17" s="88">
        <f>INDEX('LÅSTA PARAMETRAR'!$1:$1048576,ROW(I17)+$B$11*18-17,COLUMN(I17))</f>
        <v>23.290934320074019</v>
      </c>
      <c r="Y17" s="88">
        <f>INDEX('LÅSTA PARAMETRAR'!$1:$1048576,ROW(J17)+$B$11*18-17,COLUMN(J17))</f>
        <v>88.374190564292363</v>
      </c>
      <c r="Z17" s="88">
        <f>INDEX('LÅSTA PARAMETRAR'!$1:$1048576,ROW(K17)+$B$11*18-17,COLUMN(K17))</f>
        <v>234.70397779833479</v>
      </c>
      <c r="AA17" s="88">
        <f>INDEX('LÅSTA PARAMETRAR'!$1:$1048576,ROW(L17)+$B$11*18-17,COLUMN(L17))</f>
        <v>342.44819611470865</v>
      </c>
      <c r="AB17" s="88">
        <f>INDEX('LÅSTA PARAMETRAR'!$1:$1048576,ROW(M17)+$B$11*18-17,COLUMN(M17))</f>
        <v>446.98103607770588</v>
      </c>
      <c r="AC17" s="88">
        <f>INDEX('LÅSTA PARAMETRAR'!$1:$1048576,ROW(N17)+$B$11*18-17,COLUMN(N17))</f>
        <v>2886.9745605920448</v>
      </c>
      <c r="AD17" s="102"/>
      <c r="AE17" s="88" t="str">
        <f>IF($B$11=1,'LÅSTA PARAMETRAR'!P18,IF($B$11=2,'LÅSTA PARAMETRAR'!P36,'LÅSTA PARAMETRAR'!P54))</f>
        <v>KOMFORT</v>
      </c>
      <c r="AF17" s="88">
        <f>INDEX('LÅSTA PARAMETRAR'!$1:$1048576,ROW(Q17)+$B$11*18-17,COLUMN(Q17))</f>
        <v>725.97086031452363</v>
      </c>
      <c r="AG17" s="88">
        <f>INDEX('LÅSTA PARAMETRAR'!$1:$1048576,ROW(R17)+$B$11*18-17,COLUMN(R17))</f>
        <v>670.23913043478251</v>
      </c>
      <c r="AH17" s="88">
        <f>INDEX('LÅSTA PARAMETRAR'!$1:$1048576,ROW(S17)+$B$11*18-17,COLUMN(S17))</f>
        <v>613.14199814986125</v>
      </c>
      <c r="AI17" s="88">
        <f>INDEX('LÅSTA PARAMETRAR'!$1:$1048576,ROW(T17)+$B$11*18-17,COLUMN(T17))</f>
        <v>390.19079555966687</v>
      </c>
      <c r="AJ17" s="88">
        <f>INDEX('LÅSTA PARAMETRAR'!$1:$1048576,ROW(U17)+$B$11*18-17,COLUMN(U17))</f>
        <v>182.30966697502319</v>
      </c>
      <c r="AK17" s="88">
        <f>INDEX('LÅSTA PARAMETRAR'!$1:$1048576,ROW(V17)+$B$11*18-17,COLUMN(V17))</f>
        <v>44.911887141535608</v>
      </c>
      <c r="AL17" s="88">
        <f>INDEX('LÅSTA PARAMETRAR'!$1:$1048576,ROW(W17)+$B$11*18-17,COLUMN(W17))</f>
        <v>0</v>
      </c>
      <c r="AM17" s="88">
        <f>INDEX('LÅSTA PARAMETRAR'!$1:$1048576,ROW(X17)+$B$11*18-17,COLUMN(X17))</f>
        <v>34.93640148011103</v>
      </c>
      <c r="AN17" s="88">
        <f>INDEX('LÅSTA PARAMETRAR'!$1:$1048576,ROW(Y17)+$B$11*18-17,COLUMN(Y17))</f>
        <v>132.56128584643855</v>
      </c>
      <c r="AO17" s="88">
        <f>INDEX('LÅSTA PARAMETRAR'!$1:$1048576,ROW(Z17)+$B$11*18-17,COLUMN(Z17))</f>
        <v>352.05596669750219</v>
      </c>
      <c r="AP17" s="88">
        <f>INDEX('LÅSTA PARAMETRAR'!$1:$1048576,ROW(AA17)+$B$11*18-17,COLUMN(AA17))</f>
        <v>513.67229417206295</v>
      </c>
      <c r="AQ17" s="88">
        <f>INDEX('LÅSTA PARAMETRAR'!$1:$1048576,ROW(AB17)+$B$11*18-17,COLUMN(AB17))</f>
        <v>670.47155411655876</v>
      </c>
      <c r="AR17" s="88">
        <f>INDEX('LÅSTA PARAMETRAR'!$1:$1048576,ROW(AC17)+$B$11*18-17,COLUMN(AC17))</f>
        <v>4330.461840888066</v>
      </c>
      <c r="AT17" s="20" t="s">
        <v>65</v>
      </c>
      <c r="AU17" s="88">
        <f t="shared" si="1"/>
        <v>241.9902867715079</v>
      </c>
      <c r="AV17" s="88">
        <f t="shared" si="1"/>
        <v>223.41304347826087</v>
      </c>
      <c r="AW17" s="88">
        <f t="shared" si="1"/>
        <v>204.38066604995373</v>
      </c>
      <c r="AX17" s="88">
        <f t="shared" si="1"/>
        <v>130.06359851988896</v>
      </c>
      <c r="AY17" s="88">
        <f t="shared" si="1"/>
        <v>60.769888991674392</v>
      </c>
      <c r="AZ17" s="88">
        <f t="shared" si="1"/>
        <v>14.970629047178537</v>
      </c>
      <c r="BA17" s="88">
        <f t="shared" si="1"/>
        <v>0</v>
      </c>
      <c r="BB17" s="88">
        <f t="shared" si="1"/>
        <v>11.645467160037011</v>
      </c>
      <c r="BC17" s="88">
        <f t="shared" si="2"/>
        <v>44.187095282146188</v>
      </c>
      <c r="BD17" s="88">
        <f t="shared" si="2"/>
        <v>117.3519888991674</v>
      </c>
      <c r="BE17" s="88">
        <f t="shared" si="2"/>
        <v>171.2240980573543</v>
      </c>
      <c r="BF17" s="88">
        <f t="shared" si="2"/>
        <v>223.49051803885288</v>
      </c>
      <c r="BG17" s="88">
        <f t="shared" si="2"/>
        <v>1443.4872802960213</v>
      </c>
    </row>
    <row r="18" spans="1:59" x14ac:dyDescent="0.2">
      <c r="A18" s="30" t="s">
        <v>199</v>
      </c>
      <c r="B18" s="254">
        <f t="shared" si="0"/>
        <v>736.48791128684263</v>
      </c>
      <c r="C18" s="254">
        <f t="shared" si="0"/>
        <v>690.21189522505927</v>
      </c>
      <c r="D18" s="254">
        <f t="shared" si="0"/>
        <v>642.80213750893904</v>
      </c>
      <c r="E18" s="254">
        <f t="shared" si="0"/>
        <v>457.67791017344121</v>
      </c>
      <c r="F18" s="254">
        <f t="shared" si="0"/>
        <v>285.06689547709806</v>
      </c>
      <c r="G18" s="254">
        <f t="shared" si="0"/>
        <v>170.98068497999478</v>
      </c>
      <c r="H18" s="254">
        <f t="shared" si="0"/>
        <v>133.68876500529836</v>
      </c>
      <c r="I18" s="254">
        <f t="shared" si="0"/>
        <v>162.69768827976179</v>
      </c>
      <c r="J18" s="254">
        <f t="shared" si="0"/>
        <v>243.75906438838544</v>
      </c>
      <c r="K18" s="254">
        <f t="shared" si="0"/>
        <v>426.01322011722277</v>
      </c>
      <c r="L18" s="254">
        <f t="shared" si="0"/>
        <v>560.20894277283458</v>
      </c>
      <c r="M18" s="254">
        <f t="shared" si="0"/>
        <v>690.40488478512179</v>
      </c>
      <c r="N18" s="254">
        <f t="shared" si="0"/>
        <v>5200</v>
      </c>
      <c r="P18" s="88" t="str">
        <f>IF($B$11=1,'LÅSTA PARAMETRAR'!A19,IF($B$11=2,'LÅSTA PARAMETRAR'!A37,'LÅSTA PARAMETRAR'!A55))</f>
        <v>TOTALT</v>
      </c>
      <c r="Q18" s="88">
        <f>INDEX('LÅSTA PARAMETRAR'!$1:$1048576,ROW(B18)+$B$11*18-17,COLUMN(B18))</f>
        <v>591.31776133209996</v>
      </c>
      <c r="R18" s="88">
        <f>INDEX('LÅSTA PARAMETRAR'!$1:$1048576,ROW(C18)+$B$11*18-17,COLUMN(C18))</f>
        <v>554.1632747456058</v>
      </c>
      <c r="S18" s="88">
        <f>INDEX('LÅSTA PARAMETRAR'!$1:$1048576,ROW(D18)+$B$11*18-17,COLUMN(D18))</f>
        <v>516.09851988899175</v>
      </c>
      <c r="T18" s="88">
        <f>INDEX('LÅSTA PARAMETRAR'!$1:$1048576,ROW(E18)+$B$11*18-17,COLUMN(E18))</f>
        <v>367.46438482886208</v>
      </c>
      <c r="U18" s="88">
        <f>INDEX('LÅSTA PARAMETRAR'!$1:$1048576,ROW(F18)+$B$11*18-17,COLUMN(F18))</f>
        <v>228.87696577243298</v>
      </c>
      <c r="V18" s="88">
        <f>INDEX('LÅSTA PARAMETRAR'!$1:$1048576,ROW(G18)+$B$11*18-17,COLUMN(G18))</f>
        <v>137.27844588344126</v>
      </c>
      <c r="W18" s="88">
        <f>INDEX('LÅSTA PARAMETRAR'!$1:$1048576,ROW(H18)+$B$11*18-17,COLUMN(H18))</f>
        <v>107.3371877890842</v>
      </c>
      <c r="X18" s="88">
        <f>INDEX('LÅSTA PARAMETRAR'!$1:$1048576,ROW(I18)+$B$11*18-17,COLUMN(I18))</f>
        <v>130.62812210915823</v>
      </c>
      <c r="Y18" s="88">
        <f>INDEX('LÅSTA PARAMETRAR'!$1:$1048576,ROW(J18)+$B$11*18-17,COLUMN(J18))</f>
        <v>195.71137835337657</v>
      </c>
      <c r="Z18" s="88">
        <f>INDEX('LÅSTA PARAMETRAR'!$1:$1048576,ROW(K18)+$B$11*18-17,COLUMN(K18))</f>
        <v>342.04116558741896</v>
      </c>
      <c r="AA18" s="88">
        <f>INDEX('LÅSTA PARAMETRAR'!$1:$1048576,ROW(L18)+$B$11*18-17,COLUMN(L18))</f>
        <v>449.78538390379288</v>
      </c>
      <c r="AB18" s="88">
        <f>INDEX('LÅSTA PARAMETRAR'!$1:$1048576,ROW(M18)+$B$11*18-17,COLUMN(M18))</f>
        <v>554.31822386679005</v>
      </c>
      <c r="AC18" s="88">
        <f>INDEX('LÅSTA PARAMETRAR'!$1:$1048576,ROW(N18)+$B$11*18-17,COLUMN(N18))</f>
        <v>4175.0208140610557</v>
      </c>
      <c r="AD18" s="102"/>
      <c r="AE18" s="88" t="str">
        <f>IF($B$11=1,'LÅSTA PARAMETRAR'!P19,IF($B$11=2,'LÅSTA PARAMETRAR'!P37,'LÅSTA PARAMETRAR'!P55))</f>
        <v>TOTALT</v>
      </c>
      <c r="AF18" s="88">
        <f>INDEX('LÅSTA PARAMETRAR'!$1:$1048576,ROW(Q18)+$B$11*18-17,COLUMN(Q18))</f>
        <v>886.97664199814994</v>
      </c>
      <c r="AG18" s="88">
        <f>INDEX('LÅSTA PARAMETRAR'!$1:$1048576,ROW(R18)+$B$11*18-17,COLUMN(R18))</f>
        <v>831.24491211840882</v>
      </c>
      <c r="AH18" s="88">
        <f>INDEX('LÅSTA PARAMETRAR'!$1:$1048576,ROW(S18)+$B$11*18-17,COLUMN(S18))</f>
        <v>774.14777983348756</v>
      </c>
      <c r="AI18" s="88">
        <f>INDEX('LÅSTA PARAMETRAR'!$1:$1048576,ROW(T18)+$B$11*18-17,COLUMN(T18))</f>
        <v>551.19657724329318</v>
      </c>
      <c r="AJ18" s="88">
        <f>INDEX('LÅSTA PARAMETRAR'!$1:$1048576,ROW(U18)+$B$11*18-17,COLUMN(U18))</f>
        <v>343.31544865864953</v>
      </c>
      <c r="AK18" s="88">
        <f>INDEX('LÅSTA PARAMETRAR'!$1:$1048576,ROW(V18)+$B$11*18-17,COLUMN(V18))</f>
        <v>205.91766882516191</v>
      </c>
      <c r="AL18" s="88">
        <f>INDEX('LÅSTA PARAMETRAR'!$1:$1048576,ROW(W18)+$B$11*18-17,COLUMN(W18))</f>
        <v>161.00578168362631</v>
      </c>
      <c r="AM18" s="88">
        <f>INDEX('LÅSTA PARAMETRAR'!$1:$1048576,ROW(X18)+$B$11*18-17,COLUMN(X18))</f>
        <v>195.94218316373735</v>
      </c>
      <c r="AN18" s="88">
        <f>INDEX('LÅSTA PARAMETRAR'!$1:$1048576,ROW(Y18)+$B$11*18-17,COLUMN(Y18))</f>
        <v>293.56706753006483</v>
      </c>
      <c r="AO18" s="88">
        <f>INDEX('LÅSTA PARAMETRAR'!$1:$1048576,ROW(Z18)+$B$11*18-17,COLUMN(Z18))</f>
        <v>513.0617483811285</v>
      </c>
      <c r="AP18" s="88">
        <f>INDEX('LÅSTA PARAMETRAR'!$1:$1048576,ROW(AA18)+$B$11*18-17,COLUMN(AA18))</f>
        <v>674.67807585568926</v>
      </c>
      <c r="AQ18" s="88">
        <f>INDEX('LÅSTA PARAMETRAR'!$1:$1048576,ROW(AB18)+$B$11*18-17,COLUMN(AB18))</f>
        <v>831.47733580018507</v>
      </c>
      <c r="AR18" s="88">
        <f>INDEX('LÅSTA PARAMETRAR'!$1:$1048576,ROW(AC18)+$B$11*18-17,COLUMN(AC18))</f>
        <v>6262.5312210915818</v>
      </c>
      <c r="AT18" s="53" t="s">
        <v>41</v>
      </c>
      <c r="AU18" s="88">
        <f t="shared" si="1"/>
        <v>295.65888066604998</v>
      </c>
      <c r="AV18" s="88">
        <f t="shared" si="1"/>
        <v>277.08163737280302</v>
      </c>
      <c r="AW18" s="88">
        <f t="shared" si="1"/>
        <v>258.04925994449582</v>
      </c>
      <c r="AX18" s="88">
        <f t="shared" si="1"/>
        <v>183.7321924144311</v>
      </c>
      <c r="AY18" s="88">
        <f t="shared" si="1"/>
        <v>114.43848288621655</v>
      </c>
      <c r="AZ18" s="88">
        <f t="shared" si="1"/>
        <v>68.639222941720647</v>
      </c>
      <c r="BA18" s="88">
        <f t="shared" si="1"/>
        <v>53.668593894542113</v>
      </c>
      <c r="BB18" s="88">
        <f t="shared" si="1"/>
        <v>65.314061054579128</v>
      </c>
      <c r="BC18" s="88">
        <f t="shared" si="2"/>
        <v>97.855689176688259</v>
      </c>
      <c r="BD18" s="88">
        <f t="shared" si="2"/>
        <v>171.02058279370954</v>
      </c>
      <c r="BE18" s="88">
        <f t="shared" si="2"/>
        <v>224.89269195189638</v>
      </c>
      <c r="BF18" s="88">
        <f t="shared" si="2"/>
        <v>277.15911193339502</v>
      </c>
      <c r="BG18" s="88">
        <f t="shared" si="2"/>
        <v>2087.510407030526</v>
      </c>
    </row>
    <row r="19" spans="1:59" x14ac:dyDescent="0.2">
      <c r="P19" s="88">
        <f>IF($B$11=1,'LÅSTA PARAMETRAR'!A20,IF($B$11=2,'LÅSTA PARAMETRAR'!A38,'LÅSTA PARAMETRAR'!A56))</f>
        <v>0</v>
      </c>
      <c r="Q19" s="88">
        <f>INDEX('LÅSTA PARAMETRAR'!$1:$1048576,ROW(B19)+$B$11*18-17,COLUMN(B19))</f>
        <v>0</v>
      </c>
      <c r="R19" s="88">
        <f>INDEX('LÅSTA PARAMETRAR'!$1:$1048576,ROW(C19)+$B$11*18-17,COLUMN(C19))</f>
        <v>0</v>
      </c>
      <c r="S19" s="88">
        <f>INDEX('LÅSTA PARAMETRAR'!$1:$1048576,ROW(D19)+$B$11*18-17,COLUMN(D19))</f>
        <v>0</v>
      </c>
      <c r="T19" s="88">
        <f>INDEX('LÅSTA PARAMETRAR'!$1:$1048576,ROW(E19)+$B$11*18-17,COLUMN(E19))</f>
        <v>0</v>
      </c>
      <c r="U19" s="88">
        <f>INDEX('LÅSTA PARAMETRAR'!$1:$1048576,ROW(F19)+$B$11*18-17,COLUMN(F19))</f>
        <v>0</v>
      </c>
      <c r="V19" s="88">
        <f>INDEX('LÅSTA PARAMETRAR'!$1:$1048576,ROW(G19)+$B$11*18-17,COLUMN(G19))</f>
        <v>0</v>
      </c>
      <c r="W19" s="88">
        <f>INDEX('LÅSTA PARAMETRAR'!$1:$1048576,ROW(H19)+$B$11*18-17,COLUMN(H19))</f>
        <v>0</v>
      </c>
      <c r="X19" s="88">
        <f>INDEX('LÅSTA PARAMETRAR'!$1:$1048576,ROW(I19)+$B$11*18-17,COLUMN(I19))</f>
        <v>0</v>
      </c>
      <c r="Y19" s="88">
        <f>INDEX('LÅSTA PARAMETRAR'!$1:$1048576,ROW(J19)+$B$11*18-17,COLUMN(J19))</f>
        <v>0</v>
      </c>
      <c r="Z19" s="88">
        <f>INDEX('LÅSTA PARAMETRAR'!$1:$1048576,ROW(K19)+$B$11*18-17,COLUMN(K19))</f>
        <v>0</v>
      </c>
      <c r="AA19" s="88">
        <f>INDEX('LÅSTA PARAMETRAR'!$1:$1048576,ROW(L19)+$B$11*18-17,COLUMN(L19))</f>
        <v>0</v>
      </c>
      <c r="AB19" s="88">
        <f>INDEX('LÅSTA PARAMETRAR'!$1:$1048576,ROW(M19)+$B$11*18-17,COLUMN(M19))</f>
        <v>0</v>
      </c>
      <c r="AC19" s="88">
        <f>INDEX('LÅSTA PARAMETRAR'!$1:$1048576,ROW(N19)+$B$11*18-17,COLUMN(N19))</f>
        <v>0</v>
      </c>
      <c r="AD19" s="102"/>
      <c r="AE19" s="88">
        <f>IF($B$11=1,'LÅSTA PARAMETRAR'!P20,IF($B$11=2,'LÅSTA PARAMETRAR'!P38,'LÅSTA PARAMETRAR'!P56))</f>
        <v>0</v>
      </c>
      <c r="AF19" s="88">
        <f>INDEX('LÅSTA PARAMETRAR'!$1:$1048576,ROW(Q19)+$B$11*18-17,COLUMN(Q19))</f>
        <v>0</v>
      </c>
      <c r="AG19" s="88">
        <f>INDEX('LÅSTA PARAMETRAR'!$1:$1048576,ROW(R19)+$B$11*18-17,COLUMN(R19))</f>
        <v>0</v>
      </c>
      <c r="AH19" s="88">
        <f>INDEX('LÅSTA PARAMETRAR'!$1:$1048576,ROW(S19)+$B$11*18-17,COLUMN(S19))</f>
        <v>0</v>
      </c>
      <c r="AI19" s="88">
        <f>INDEX('LÅSTA PARAMETRAR'!$1:$1048576,ROW(T19)+$B$11*18-17,COLUMN(T19))</f>
        <v>0</v>
      </c>
      <c r="AJ19" s="88">
        <f>INDEX('LÅSTA PARAMETRAR'!$1:$1048576,ROW(U19)+$B$11*18-17,COLUMN(U19))</f>
        <v>0</v>
      </c>
      <c r="AK19" s="88">
        <f>INDEX('LÅSTA PARAMETRAR'!$1:$1048576,ROW(V19)+$B$11*18-17,COLUMN(V19))</f>
        <v>0</v>
      </c>
      <c r="AL19" s="88">
        <f>INDEX('LÅSTA PARAMETRAR'!$1:$1048576,ROW(W19)+$B$11*18-17,COLUMN(W19))</f>
        <v>0</v>
      </c>
      <c r="AM19" s="88">
        <f>INDEX('LÅSTA PARAMETRAR'!$1:$1048576,ROW(X19)+$B$11*18-17,COLUMN(X19))</f>
        <v>0</v>
      </c>
      <c r="AN19" s="88">
        <f>INDEX('LÅSTA PARAMETRAR'!$1:$1048576,ROW(Y19)+$B$11*18-17,COLUMN(Y19))</f>
        <v>0</v>
      </c>
      <c r="AO19" s="88">
        <f>INDEX('LÅSTA PARAMETRAR'!$1:$1048576,ROW(Z19)+$B$11*18-17,COLUMN(Z19))</f>
        <v>0</v>
      </c>
      <c r="AP19" s="88">
        <f>INDEX('LÅSTA PARAMETRAR'!$1:$1048576,ROW(AA19)+$B$11*18-17,COLUMN(AA19))</f>
        <v>0</v>
      </c>
      <c r="AQ19" s="88">
        <f>INDEX('LÅSTA PARAMETRAR'!$1:$1048576,ROW(AB19)+$B$11*18-17,COLUMN(AB19))</f>
        <v>0</v>
      </c>
      <c r="AR19" s="88">
        <f>INDEX('LÅSTA PARAMETRAR'!$1:$1048576,ROW(AC19)+$B$11*18-17,COLUMN(AC19))</f>
        <v>0</v>
      </c>
    </row>
    <row r="20" spans="1:59" x14ac:dyDescent="0.2">
      <c r="A20" s="53" t="s">
        <v>245</v>
      </c>
      <c r="B20" s="17" t="s">
        <v>20</v>
      </c>
      <c r="C20" s="17" t="s">
        <v>21</v>
      </c>
      <c r="D20" s="17" t="s">
        <v>22</v>
      </c>
      <c r="E20" s="17" t="s">
        <v>23</v>
      </c>
      <c r="F20" s="17" t="s">
        <v>24</v>
      </c>
      <c r="G20" s="17" t="s">
        <v>25</v>
      </c>
      <c r="H20" s="17" t="s">
        <v>26</v>
      </c>
      <c r="I20" s="17" t="s">
        <v>27</v>
      </c>
      <c r="J20" s="17" t="s">
        <v>28</v>
      </c>
      <c r="K20" s="17" t="s">
        <v>29</v>
      </c>
      <c r="L20" s="17" t="s">
        <v>30</v>
      </c>
      <c r="M20" s="17" t="s">
        <v>31</v>
      </c>
      <c r="N20" s="23" t="s">
        <v>53</v>
      </c>
      <c r="P20" s="88" t="str">
        <f>IF($B$11=1,'LÅSTA PARAMETRAR'!A21,IF($B$11=2,'LÅSTA PARAMETRAR'!A39,'LÅSTA PARAMETRAR'!A57))</f>
        <v>Fjärrvärme</v>
      </c>
      <c r="Q20" s="88" t="str">
        <f>IF($B$11=1,'LÅSTA PARAMETRAR'!B21,IF($B$11=2,'LÅSTA PARAMETRAR'!B39,'LÅSTA PARAMETRAR'!B57))</f>
        <v>jan</v>
      </c>
      <c r="R20" s="88" t="str">
        <f>IF($B$11=1,'LÅSTA PARAMETRAR'!C21,IF($B$11=2,'LÅSTA PARAMETRAR'!C39,'LÅSTA PARAMETRAR'!C57))</f>
        <v>feb</v>
      </c>
      <c r="S20" s="88" t="str">
        <f>IF($B$11=1,'LÅSTA PARAMETRAR'!D21,IF($B$11=2,'LÅSTA PARAMETRAR'!D39,'LÅSTA PARAMETRAR'!D57))</f>
        <v>mar</v>
      </c>
      <c r="T20" s="88" t="str">
        <f>IF($B$11=1,'LÅSTA PARAMETRAR'!E21,IF($B$11=2,'LÅSTA PARAMETRAR'!E39,'LÅSTA PARAMETRAR'!E57))</f>
        <v>apr</v>
      </c>
      <c r="U20" s="88" t="str">
        <f>IF($B$11=1,'LÅSTA PARAMETRAR'!F21,IF($B$11=2,'LÅSTA PARAMETRAR'!F39,'LÅSTA PARAMETRAR'!F57))</f>
        <v>maj</v>
      </c>
      <c r="V20" s="88" t="str">
        <f>IF($B$11=1,'LÅSTA PARAMETRAR'!G21,IF($B$11=2,'LÅSTA PARAMETRAR'!G39,'LÅSTA PARAMETRAR'!G57))</f>
        <v>jun</v>
      </c>
      <c r="W20" s="88" t="str">
        <f>IF($B$11=1,'LÅSTA PARAMETRAR'!H21,IF($B$11=2,'LÅSTA PARAMETRAR'!H39,'LÅSTA PARAMETRAR'!H57))</f>
        <v>jul</v>
      </c>
      <c r="X20" s="88" t="str">
        <f>IF($B$11=1,'LÅSTA PARAMETRAR'!I21,IF($B$11=2,'LÅSTA PARAMETRAR'!I39,'LÅSTA PARAMETRAR'!I57))</f>
        <v>aug</v>
      </c>
      <c r="Y20" s="88" t="str">
        <f>IF($B$11=1,'LÅSTA PARAMETRAR'!J21,IF($B$11=2,'LÅSTA PARAMETRAR'!J39,'LÅSTA PARAMETRAR'!J57))</f>
        <v>sep</v>
      </c>
      <c r="Z20" s="88" t="str">
        <f>IF($B$11=1,'LÅSTA PARAMETRAR'!K21,IF($B$11=2,'LÅSTA PARAMETRAR'!K39,'LÅSTA PARAMETRAR'!K57))</f>
        <v>okt</v>
      </c>
      <c r="AA20" s="88" t="str">
        <f>IF($B$11=1,'LÅSTA PARAMETRAR'!L21,IF($B$11=2,'LÅSTA PARAMETRAR'!L39,'LÅSTA PARAMETRAR'!L57))</f>
        <v>nov</v>
      </c>
      <c r="AB20" s="88" t="str">
        <f>IF($B$11=1,'LÅSTA PARAMETRAR'!M21,IF($B$11=2,'LÅSTA PARAMETRAR'!M39,'LÅSTA PARAMETRAR'!M57))</f>
        <v>dec</v>
      </c>
      <c r="AC20" s="88" t="str">
        <f>IF($B$11=1,'LÅSTA PARAMETRAR'!N21,IF($B$11=2,'LÅSTA PARAMETRAR'!N39,'LÅSTA PARAMETRAR'!N57))</f>
        <v>TOT</v>
      </c>
      <c r="AD20" s="102"/>
      <c r="AE20" s="88" t="str">
        <f>IF($B$11=1,'LÅSTA PARAMETRAR'!P21,IF($B$11=2,'LÅSTA PARAMETRAR'!P39,'LÅSTA PARAMETRAR'!P57))</f>
        <v>Fjärrvärme</v>
      </c>
      <c r="AF20" s="88" t="str">
        <f>IF($B$11=1,'LÅSTA PARAMETRAR'!Q21,IF($B$11=2,'LÅSTA PARAMETRAR'!Q39,'LÅSTA PARAMETRAR'!Q57))</f>
        <v>jan</v>
      </c>
      <c r="AG20" s="88" t="str">
        <f>IF($B$11=1,'LÅSTA PARAMETRAR'!R21,IF($B$11=2,'LÅSTA PARAMETRAR'!R39,'LÅSTA PARAMETRAR'!R57))</f>
        <v>feb</v>
      </c>
      <c r="AH20" s="88" t="str">
        <f>IF($B$11=1,'LÅSTA PARAMETRAR'!S21,IF($B$11=2,'LÅSTA PARAMETRAR'!S39,'LÅSTA PARAMETRAR'!S57))</f>
        <v>mar</v>
      </c>
      <c r="AI20" s="88" t="str">
        <f>IF($B$11=1,'LÅSTA PARAMETRAR'!T21,IF($B$11=2,'LÅSTA PARAMETRAR'!T39,'LÅSTA PARAMETRAR'!T57))</f>
        <v>apr</v>
      </c>
      <c r="AJ20" s="88" t="str">
        <f>IF($B$11=1,'LÅSTA PARAMETRAR'!U21,IF($B$11=2,'LÅSTA PARAMETRAR'!U39,'LÅSTA PARAMETRAR'!U57))</f>
        <v>maj</v>
      </c>
      <c r="AK20" s="88" t="str">
        <f>IF($B$11=1,'LÅSTA PARAMETRAR'!V21,IF($B$11=2,'LÅSTA PARAMETRAR'!V39,'LÅSTA PARAMETRAR'!V57))</f>
        <v>jun</v>
      </c>
      <c r="AL20" s="88" t="str">
        <f>IF($B$11=1,'LÅSTA PARAMETRAR'!W21,IF($B$11=2,'LÅSTA PARAMETRAR'!W39,'LÅSTA PARAMETRAR'!W57))</f>
        <v>jul</v>
      </c>
      <c r="AM20" s="88" t="str">
        <f>IF($B$11=1,'LÅSTA PARAMETRAR'!X21,IF($B$11=2,'LÅSTA PARAMETRAR'!X39,'LÅSTA PARAMETRAR'!X57))</f>
        <v>aug</v>
      </c>
      <c r="AN20" s="88" t="str">
        <f>IF($B$11=1,'LÅSTA PARAMETRAR'!Y21,IF($B$11=2,'LÅSTA PARAMETRAR'!Y39,'LÅSTA PARAMETRAR'!Y57))</f>
        <v>sep</v>
      </c>
      <c r="AO20" s="88" t="str">
        <f>IF($B$11=1,'LÅSTA PARAMETRAR'!Z21,IF($B$11=2,'LÅSTA PARAMETRAR'!Z39,'LÅSTA PARAMETRAR'!Z57))</f>
        <v>okt</v>
      </c>
      <c r="AP20" s="88" t="str">
        <f>IF($B$11=1,'LÅSTA PARAMETRAR'!AA21,IF($B$11=2,'LÅSTA PARAMETRAR'!AA39,'LÅSTA PARAMETRAR'!AA57))</f>
        <v>nov</v>
      </c>
      <c r="AQ20" s="88" t="str">
        <f>IF($B$11=1,'LÅSTA PARAMETRAR'!AB21,IF($B$11=2,'LÅSTA PARAMETRAR'!AB39,'LÅSTA PARAMETRAR'!AB57))</f>
        <v>dec</v>
      </c>
      <c r="AR20" s="88" t="str">
        <f>IF($B$11=1,'LÅSTA PARAMETRAR'!AC21,IF($B$11=2,'LÅSTA PARAMETRAR'!AC39,'LÅSTA PARAMETRAR'!AC57))</f>
        <v>TOT</v>
      </c>
      <c r="AT20" s="53" t="s">
        <v>69</v>
      </c>
      <c r="AU20" s="17" t="s">
        <v>20</v>
      </c>
      <c r="AV20" s="17" t="s">
        <v>21</v>
      </c>
      <c r="AW20" s="17" t="s">
        <v>22</v>
      </c>
      <c r="AX20" s="17" t="s">
        <v>23</v>
      </c>
      <c r="AY20" s="17" t="s">
        <v>24</v>
      </c>
      <c r="AZ20" s="17" t="s">
        <v>25</v>
      </c>
      <c r="BA20" s="17" t="s">
        <v>26</v>
      </c>
      <c r="BB20" s="17" t="s">
        <v>27</v>
      </c>
      <c r="BC20" s="17" t="s">
        <v>28</v>
      </c>
      <c r="BD20" s="17" t="s">
        <v>29</v>
      </c>
      <c r="BE20" s="17" t="s">
        <v>30</v>
      </c>
      <c r="BF20" s="17" t="s">
        <v>31</v>
      </c>
      <c r="BG20" s="23" t="s">
        <v>53</v>
      </c>
    </row>
    <row r="21" spans="1:59" x14ac:dyDescent="0.2">
      <c r="A21" s="54" t="s">
        <v>66</v>
      </c>
      <c r="B21" s="254">
        <f t="shared" ref="B21:I23" si="3">Q21+AU21*$C$12</f>
        <v>244.75759953182612</v>
      </c>
      <c r="C21" s="254">
        <f t="shared" si="3"/>
        <v>230.71332196869145</v>
      </c>
      <c r="D21" s="254">
        <f t="shared" si="3"/>
        <v>167.91702672338656</v>
      </c>
      <c r="E21" s="254">
        <f t="shared" si="3"/>
        <v>98.830447970548306</v>
      </c>
      <c r="F21" s="254">
        <f t="shared" si="3"/>
        <v>285.06689547709806</v>
      </c>
      <c r="G21" s="254">
        <f t="shared" si="3"/>
        <v>170.98068497999478</v>
      </c>
      <c r="H21" s="254">
        <f t="shared" si="3"/>
        <v>133.68876500529836</v>
      </c>
      <c r="I21" s="254">
        <f t="shared" si="3"/>
        <v>162.69768827976179</v>
      </c>
      <c r="J21" s="254">
        <f t="shared" ref="J21:J23" si="4">Y21+BC21*$C$12</f>
        <v>243.75906438838544</v>
      </c>
      <c r="K21" s="254">
        <f t="shared" ref="K21:K23" si="5">Z21+BD21*$C$12</f>
        <v>68.69072415046999</v>
      </c>
      <c r="L21" s="254">
        <f t="shared" ref="L21:L23" si="6">AA21+BE21*$C$12</f>
        <v>109.15729887602768</v>
      </c>
      <c r="M21" s="254">
        <f t="shared" ref="M21:M23" si="7">AB21+BF21*$C$12</f>
        <v>235.68057359512414</v>
      </c>
      <c r="N21" s="254">
        <f t="shared" ref="N21:N23" si="8">AC21+BG21*$C$12</f>
        <v>2151.9400909466131</v>
      </c>
      <c r="P21" s="88" t="str">
        <f>IF($B$11=1,'LÅSTA PARAMETRAR'!A22,IF($B$11=2,'LÅSTA PARAMETRAR'!A40,'LÅSTA PARAMETRAR'!A58))</f>
        <v>FJV-&gt;BYGGNAD</v>
      </c>
      <c r="Q21" s="88">
        <f>INDEX('LÅSTA PARAMETRAR'!$1:$1048576,ROW(B21)+$B$11*18-17,COLUMN(B21))</f>
        <v>184.17778699359212</v>
      </c>
      <c r="R21" s="88">
        <f>INDEX('LÅSTA PARAMETRAR'!$1:$1048576,ROW(C21)+$B$11*18-17,COLUMN(C21))</f>
        <v>177.23850003962616</v>
      </c>
      <c r="S21" s="88">
        <f>INDEX('LÅSTA PARAMETRAR'!$1:$1048576,ROW(D21)+$B$11*18-17,COLUMN(D21))</f>
        <v>130.17967798301265</v>
      </c>
      <c r="T21" s="88">
        <f>INDEX('LÅSTA PARAMETRAR'!$1:$1048576,ROW(E21)+$B$11*18-17,COLUMN(E21))</f>
        <v>76.222440859076414</v>
      </c>
      <c r="U21" s="88">
        <f>INDEX('LÅSTA PARAMETRAR'!$1:$1048576,ROW(F21)+$B$11*18-17,COLUMN(F21))</f>
        <v>228.87696577243298</v>
      </c>
      <c r="V21" s="88">
        <f>INDEX('LÅSTA PARAMETRAR'!$1:$1048576,ROW(G21)+$B$11*18-17,COLUMN(G21))</f>
        <v>137.27844588344126</v>
      </c>
      <c r="W21" s="88">
        <f>INDEX('LÅSTA PARAMETRAR'!$1:$1048576,ROW(H21)+$B$11*18-17,COLUMN(H21))</f>
        <v>107.3371877890842</v>
      </c>
      <c r="X21" s="88">
        <f>INDEX('LÅSTA PARAMETRAR'!$1:$1048576,ROW(I21)+$B$11*18-17,COLUMN(I21))</f>
        <v>130.62812210915823</v>
      </c>
      <c r="Y21" s="88">
        <f>INDEX('LÅSTA PARAMETRAR'!$1:$1048576,ROW(J21)+$B$11*18-17,COLUMN(J21))</f>
        <v>195.71137835337657</v>
      </c>
      <c r="Z21" s="88">
        <f>INDEX('LÅSTA PARAMETRAR'!$1:$1048576,ROW(K21)+$B$11*18-17,COLUMN(K21))</f>
        <v>55.151000588680461</v>
      </c>
      <c r="AA21" s="88">
        <f>INDEX('LÅSTA PARAMETRAR'!$1:$1048576,ROW(L21)+$B$11*18-17,COLUMN(L21))</f>
        <v>88.79519183516976</v>
      </c>
      <c r="AB21" s="88">
        <f>INDEX('LÅSTA PARAMETRAR'!$1:$1048576,ROW(M21)+$B$11*18-17,COLUMN(M21))</f>
        <v>184.21188509575336</v>
      </c>
      <c r="AC21" s="88">
        <f>INDEX('LÅSTA PARAMETRAR'!$1:$1048576,ROW(N21)+$B$11*18-17,COLUMN(N21))</f>
        <v>1695.8085833024045</v>
      </c>
      <c r="AD21" s="102"/>
      <c r="AE21" s="88" t="str">
        <f>IF($B$11=1,'LÅSTA PARAMETRAR'!P22,IF($B$11=2,'LÅSTA PARAMETRAR'!P40,'LÅSTA PARAMETRAR'!P58))</f>
        <v>FJV-&gt;BYGGNAD</v>
      </c>
      <c r="AF21" s="88">
        <f>INDEX('LÅSTA PARAMETRAR'!$1:$1048576,ROW(Q21)+$B$11*18-17,COLUMN(Q21))</f>
        <v>307.55686713918135</v>
      </c>
      <c r="AG21" s="88">
        <f>INDEX('LÅSTA PARAMETRAR'!$1:$1048576,ROW(R21)+$B$11*18-17,COLUMN(R21))</f>
        <v>286.1472943082324</v>
      </c>
      <c r="AH21" s="88">
        <f>INDEX('LÅSTA PARAMETRAR'!$1:$1048576,ROW(S21)+$B$11*18-17,COLUMN(S21))</f>
        <v>207.03695402331209</v>
      </c>
      <c r="AI21" s="88">
        <f>INDEX('LÅSTA PARAMETRAR'!$1:$1048576,ROW(T21)+$B$11*18-17,COLUMN(T21))</f>
        <v>122.2667418310856</v>
      </c>
      <c r="AJ21" s="88">
        <f>INDEX('LÅSTA PARAMETRAR'!$1:$1048576,ROW(U21)+$B$11*18-17,COLUMN(U21))</f>
        <v>343.31544865864953</v>
      </c>
      <c r="AK21" s="88">
        <f>INDEX('LÅSTA PARAMETRAR'!$1:$1048576,ROW(V21)+$B$11*18-17,COLUMN(V21))</f>
        <v>205.91766882516191</v>
      </c>
      <c r="AL21" s="88">
        <f>INDEX('LÅSTA PARAMETRAR'!$1:$1048576,ROW(W21)+$B$11*18-17,COLUMN(W21))</f>
        <v>161.00578168362631</v>
      </c>
      <c r="AM21" s="88">
        <f>INDEX('LÅSTA PARAMETRAR'!$1:$1048576,ROW(X21)+$B$11*18-17,COLUMN(X21))</f>
        <v>195.94218316373735</v>
      </c>
      <c r="AN21" s="88">
        <f>INDEX('LÅSTA PARAMETRAR'!$1:$1048576,ROW(Y21)+$B$11*18-17,COLUMN(Y21))</f>
        <v>293.56706753006483</v>
      </c>
      <c r="AO21" s="88">
        <f>INDEX('LÅSTA PARAMETRAR'!$1:$1048576,ROW(Z21)+$B$11*18-17,COLUMN(Z21))</f>
        <v>82.726500883020776</v>
      </c>
      <c r="AP21" s="88">
        <f>INDEX('LÅSTA PARAMETRAR'!$1:$1048576,ROW(AA21)+$B$11*18-17,COLUMN(AA21))</f>
        <v>130.26540990396131</v>
      </c>
      <c r="AQ21" s="88">
        <f>INDEX('LÅSTA PARAMETRAR'!$1:$1048576,ROW(AB21)+$B$11*18-17,COLUMN(AB21))</f>
        <v>289.0349140436299</v>
      </c>
      <c r="AR21" s="88">
        <f>INDEX('LÅSTA PARAMETRAR'!$1:$1048576,ROW(AC21)+$B$11*18-17,COLUMN(AC21))</f>
        <v>2624.7828319936634</v>
      </c>
      <c r="AT21" s="54" t="s">
        <v>66</v>
      </c>
      <c r="AU21" s="88">
        <f t="shared" ref="AU21:BB23" si="9">AF21-Q21</f>
        <v>123.37908014558923</v>
      </c>
      <c r="AV21" s="88">
        <f t="shared" si="9"/>
        <v>108.90879426860624</v>
      </c>
      <c r="AW21" s="88">
        <f t="shared" si="9"/>
        <v>76.857276040299439</v>
      </c>
      <c r="AX21" s="88">
        <f t="shared" si="9"/>
        <v>46.044300972009182</v>
      </c>
      <c r="AY21" s="88">
        <f t="shared" si="9"/>
        <v>114.43848288621655</v>
      </c>
      <c r="AZ21" s="88">
        <f t="shared" si="9"/>
        <v>68.639222941720647</v>
      </c>
      <c r="BA21" s="88">
        <f t="shared" si="9"/>
        <v>53.668593894542113</v>
      </c>
      <c r="BB21" s="88">
        <f t="shared" si="9"/>
        <v>65.314061054579128</v>
      </c>
      <c r="BC21" s="88">
        <f t="shared" ref="BC21:BC23" si="10">AN21-Y21</f>
        <v>97.855689176688259</v>
      </c>
      <c r="BD21" s="88">
        <f t="shared" ref="BD21:BD23" si="11">AO21-Z21</f>
        <v>27.575500294340316</v>
      </c>
      <c r="BE21" s="88">
        <f t="shared" ref="BE21:BE23" si="12">AP21-AA21</f>
        <v>41.470218068791553</v>
      </c>
      <c r="BF21" s="88">
        <f t="shared" ref="BF21:BF23" si="13">AQ21-AB21</f>
        <v>104.82302894787654</v>
      </c>
      <c r="BG21" s="88">
        <f t="shared" ref="BG21:BG23" si="14">AR21-AC21</f>
        <v>928.97424869125894</v>
      </c>
    </row>
    <row r="22" spans="1:59" x14ac:dyDescent="0.2">
      <c r="A22" s="21" t="s">
        <v>67</v>
      </c>
      <c r="B22" s="254">
        <f t="shared" si="3"/>
        <v>0</v>
      </c>
      <c r="C22" s="254">
        <f t="shared" si="3"/>
        <v>0</v>
      </c>
      <c r="D22" s="254">
        <f t="shared" si="3"/>
        <v>0</v>
      </c>
      <c r="E22" s="254">
        <f t="shared" si="3"/>
        <v>0</v>
      </c>
      <c r="F22" s="254">
        <f t="shared" si="3"/>
        <v>1022.4328909825018</v>
      </c>
      <c r="G22" s="254">
        <f t="shared" si="3"/>
        <v>1570.9524954314541</v>
      </c>
      <c r="H22" s="254">
        <f t="shared" si="3"/>
        <v>1533.6773567963733</v>
      </c>
      <c r="I22" s="254">
        <f t="shared" si="3"/>
        <v>1050.2064140778239</v>
      </c>
      <c r="J22" s="254">
        <f t="shared" si="4"/>
        <v>654.19049908629074</v>
      </c>
      <c r="K22" s="254">
        <f t="shared" si="5"/>
        <v>0</v>
      </c>
      <c r="L22" s="254">
        <f t="shared" si="6"/>
        <v>0</v>
      </c>
      <c r="M22" s="254">
        <f t="shared" si="7"/>
        <v>0</v>
      </c>
      <c r="N22" s="254">
        <f t="shared" si="8"/>
        <v>5831.4596563744435</v>
      </c>
      <c r="P22" s="88" t="str">
        <f>IF($B$11=1,'LÅSTA PARAMETRAR'!A23,IF($B$11=2,'LÅSTA PARAMETRAR'!A41,'LÅSTA PARAMETRAR'!A59))</f>
        <v>FJV-&gt;LAGER</v>
      </c>
      <c r="Q22" s="88">
        <f>INDEX('LÅSTA PARAMETRAR'!$1:$1048576,ROW(B22)+$B$11*18-17,COLUMN(B22))</f>
        <v>0</v>
      </c>
      <c r="R22" s="88">
        <f>INDEX('LÅSTA PARAMETRAR'!$1:$1048576,ROW(C22)+$B$11*18-17,COLUMN(C22))</f>
        <v>0</v>
      </c>
      <c r="S22" s="88">
        <f>INDEX('LÅSTA PARAMETRAR'!$1:$1048576,ROW(D22)+$B$11*18-17,COLUMN(D22))</f>
        <v>0</v>
      </c>
      <c r="T22" s="88">
        <f>INDEX('LÅSTA PARAMETRAR'!$1:$1048576,ROW(E22)+$B$11*18-17,COLUMN(E22))</f>
        <v>0</v>
      </c>
      <c r="U22" s="88">
        <f>INDEX('LÅSTA PARAMETRAR'!$1:$1048576,ROW(F22)+$B$11*18-17,COLUMN(F22))</f>
        <v>855</v>
      </c>
      <c r="V22" s="88">
        <f>INDEX('LÅSTA PARAMETRAR'!$1:$1048576,ROW(G22)+$B$11*18-17,COLUMN(G22))</f>
        <v>1350</v>
      </c>
      <c r="W22" s="88">
        <f>INDEX('LÅSTA PARAMETRAR'!$1:$1048576,ROW(H22)+$B$11*18-17,COLUMN(H22))</f>
        <v>1325</v>
      </c>
      <c r="X22" s="88">
        <f>INDEX('LÅSTA PARAMETRAR'!$1:$1048576,ROW(I22)+$B$11*18-17,COLUMN(I22))</f>
        <v>925</v>
      </c>
      <c r="Y22" s="88">
        <f>INDEX('LÅSTA PARAMETRAR'!$1:$1048576,ROW(J22)+$B$11*18-17,COLUMN(J22))</f>
        <v>610</v>
      </c>
      <c r="Z22" s="88">
        <f>INDEX('LÅSTA PARAMETRAR'!$1:$1048576,ROW(K22)+$B$11*18-17,COLUMN(K22))</f>
        <v>0</v>
      </c>
      <c r="AA22" s="88">
        <f>INDEX('LÅSTA PARAMETRAR'!$1:$1048576,ROW(L22)+$B$11*18-17,COLUMN(L22))</f>
        <v>0</v>
      </c>
      <c r="AB22" s="88">
        <f>INDEX('LÅSTA PARAMETRAR'!$1:$1048576,ROW(M22)+$B$11*18-17,COLUMN(M22))</f>
        <v>0</v>
      </c>
      <c r="AC22" s="88">
        <f>INDEX('LÅSTA PARAMETRAR'!$1:$1048576,ROW(N22)+$B$11*18-17,COLUMN(N22))</f>
        <v>5065</v>
      </c>
      <c r="AD22" s="102"/>
      <c r="AE22" s="88" t="str">
        <f>IF($B$11=1,'LÅSTA PARAMETRAR'!P23,IF($B$11=2,'LÅSTA PARAMETRAR'!P41,'LÅSTA PARAMETRAR'!P59))</f>
        <v>FJV-&gt;LAGER</v>
      </c>
      <c r="AF22" s="88">
        <f>INDEX('LÅSTA PARAMETRAR'!$1:$1048576,ROW(Q22)+$B$11*18-17,COLUMN(Q22))</f>
        <v>0</v>
      </c>
      <c r="AG22" s="88">
        <f>INDEX('LÅSTA PARAMETRAR'!$1:$1048576,ROW(R22)+$B$11*18-17,COLUMN(R22))</f>
        <v>0</v>
      </c>
      <c r="AH22" s="88">
        <f>INDEX('LÅSTA PARAMETRAR'!$1:$1048576,ROW(S22)+$B$11*18-17,COLUMN(S22))</f>
        <v>0</v>
      </c>
      <c r="AI22" s="88">
        <f>INDEX('LÅSTA PARAMETRAR'!$1:$1048576,ROW(T22)+$B$11*18-17,COLUMN(T22))</f>
        <v>0</v>
      </c>
      <c r="AJ22" s="88">
        <f>INDEX('LÅSTA PARAMETRAR'!$1:$1048576,ROW(U22)+$B$11*18-17,COLUMN(U22))</f>
        <v>1196</v>
      </c>
      <c r="AK22" s="88">
        <f>INDEX('LÅSTA PARAMETRAR'!$1:$1048576,ROW(V22)+$B$11*18-17,COLUMN(V22))</f>
        <v>1800</v>
      </c>
      <c r="AL22" s="88">
        <f>INDEX('LÅSTA PARAMETRAR'!$1:$1048576,ROW(W22)+$B$11*18-17,COLUMN(W22))</f>
        <v>1750</v>
      </c>
      <c r="AM22" s="88">
        <f>INDEX('LÅSTA PARAMETRAR'!$1:$1048576,ROW(X22)+$B$11*18-17,COLUMN(X22))</f>
        <v>1180</v>
      </c>
      <c r="AN22" s="88">
        <f>INDEX('LÅSTA PARAMETRAR'!$1:$1048576,ROW(Y22)+$B$11*18-17,COLUMN(Y22))</f>
        <v>700</v>
      </c>
      <c r="AO22" s="88">
        <f>INDEX('LÅSTA PARAMETRAR'!$1:$1048576,ROW(Z22)+$B$11*18-17,COLUMN(Z22))</f>
        <v>0</v>
      </c>
      <c r="AP22" s="88">
        <f>INDEX('LÅSTA PARAMETRAR'!$1:$1048576,ROW(AA22)+$B$11*18-17,COLUMN(AA22))</f>
        <v>0</v>
      </c>
      <c r="AQ22" s="88">
        <f>INDEX('LÅSTA PARAMETRAR'!$1:$1048576,ROW(AB22)+$B$11*18-17,COLUMN(AB22))</f>
        <v>0</v>
      </c>
      <c r="AR22" s="88">
        <f>INDEX('LÅSTA PARAMETRAR'!$1:$1048576,ROW(AC22)+$B$11*18-17,COLUMN(AC22))</f>
        <v>6626</v>
      </c>
      <c r="AT22" s="21" t="s">
        <v>67</v>
      </c>
      <c r="AU22" s="88">
        <f t="shared" si="9"/>
        <v>0</v>
      </c>
      <c r="AV22" s="88">
        <f t="shared" si="9"/>
        <v>0</v>
      </c>
      <c r="AW22" s="88">
        <f t="shared" si="9"/>
        <v>0</v>
      </c>
      <c r="AX22" s="88">
        <f t="shared" si="9"/>
        <v>0</v>
      </c>
      <c r="AY22" s="88">
        <f t="shared" si="9"/>
        <v>341</v>
      </c>
      <c r="AZ22" s="88">
        <f t="shared" si="9"/>
        <v>450</v>
      </c>
      <c r="BA22" s="88">
        <f t="shared" si="9"/>
        <v>425</v>
      </c>
      <c r="BB22" s="88">
        <f t="shared" si="9"/>
        <v>255</v>
      </c>
      <c r="BC22" s="88">
        <f t="shared" si="10"/>
        <v>90</v>
      </c>
      <c r="BD22" s="88">
        <f t="shared" si="11"/>
        <v>0</v>
      </c>
      <c r="BE22" s="88">
        <f t="shared" si="12"/>
        <v>0</v>
      </c>
      <c r="BF22" s="88">
        <f t="shared" si="13"/>
        <v>0</v>
      </c>
      <c r="BG22" s="88">
        <f t="shared" si="14"/>
        <v>1561</v>
      </c>
    </row>
    <row r="23" spans="1:59" x14ac:dyDescent="0.2">
      <c r="A23" s="52" t="s">
        <v>68</v>
      </c>
      <c r="B23" s="254">
        <f t="shared" si="3"/>
        <v>244.75759953182612</v>
      </c>
      <c r="C23" s="254">
        <f t="shared" si="3"/>
        <v>230.71332196869145</v>
      </c>
      <c r="D23" s="254">
        <f t="shared" si="3"/>
        <v>167.91702672338656</v>
      </c>
      <c r="E23" s="254">
        <f t="shared" si="3"/>
        <v>98.830447970548306</v>
      </c>
      <c r="F23" s="254">
        <f t="shared" si="3"/>
        <v>1307.4997864595998</v>
      </c>
      <c r="G23" s="254">
        <f t="shared" si="3"/>
        <v>1741.9331804114488</v>
      </c>
      <c r="H23" s="254">
        <f t="shared" si="3"/>
        <v>1667.3661218016716</v>
      </c>
      <c r="I23" s="254">
        <f t="shared" si="3"/>
        <v>1212.9041023575858</v>
      </c>
      <c r="J23" s="254">
        <f t="shared" si="4"/>
        <v>897.94956347467632</v>
      </c>
      <c r="K23" s="254">
        <f t="shared" si="5"/>
        <v>68.69072415046999</v>
      </c>
      <c r="L23" s="254">
        <f t="shared" si="6"/>
        <v>109.15729887602768</v>
      </c>
      <c r="M23" s="254">
        <f t="shared" si="7"/>
        <v>235.68057359512414</v>
      </c>
      <c r="N23" s="254">
        <f t="shared" si="8"/>
        <v>7983.3997473210557</v>
      </c>
      <c r="P23" s="88" t="str">
        <f>IF($B$11=1,'LÅSTA PARAMETRAR'!A24,IF($B$11=2,'LÅSTA PARAMETRAR'!A42,'LÅSTA PARAMETRAR'!A60))</f>
        <v>FJV TOT</v>
      </c>
      <c r="Q23" s="88">
        <f>INDEX('LÅSTA PARAMETRAR'!$1:$1048576,ROW(B23)+$B$11*18-17,COLUMN(B23))</f>
        <v>184.17778699359212</v>
      </c>
      <c r="R23" s="88">
        <f>INDEX('LÅSTA PARAMETRAR'!$1:$1048576,ROW(C23)+$B$11*18-17,COLUMN(C23))</f>
        <v>177.23850003962616</v>
      </c>
      <c r="S23" s="88">
        <f>INDEX('LÅSTA PARAMETRAR'!$1:$1048576,ROW(D23)+$B$11*18-17,COLUMN(D23))</f>
        <v>130.17967798301265</v>
      </c>
      <c r="T23" s="88">
        <f>INDEX('LÅSTA PARAMETRAR'!$1:$1048576,ROW(E23)+$B$11*18-17,COLUMN(E23))</f>
        <v>76.222440859076414</v>
      </c>
      <c r="U23" s="88">
        <f>INDEX('LÅSTA PARAMETRAR'!$1:$1048576,ROW(F23)+$B$11*18-17,COLUMN(F23))</f>
        <v>1083.8769657724329</v>
      </c>
      <c r="V23" s="88">
        <f>INDEX('LÅSTA PARAMETRAR'!$1:$1048576,ROW(G23)+$B$11*18-17,COLUMN(G23))</f>
        <v>1487.2784458834412</v>
      </c>
      <c r="W23" s="88">
        <f>INDEX('LÅSTA PARAMETRAR'!$1:$1048576,ROW(H23)+$B$11*18-17,COLUMN(H23))</f>
        <v>1432.3371877890843</v>
      </c>
      <c r="X23" s="88">
        <f>INDEX('LÅSTA PARAMETRAR'!$1:$1048576,ROW(I23)+$B$11*18-17,COLUMN(I23))</f>
        <v>1055.6281221091583</v>
      </c>
      <c r="Y23" s="88">
        <f>INDEX('LÅSTA PARAMETRAR'!$1:$1048576,ROW(J23)+$B$11*18-17,COLUMN(J23))</f>
        <v>805.71137835337663</v>
      </c>
      <c r="Z23" s="88">
        <f>INDEX('LÅSTA PARAMETRAR'!$1:$1048576,ROW(K23)+$B$11*18-17,COLUMN(K23))</f>
        <v>55.151000588680461</v>
      </c>
      <c r="AA23" s="88">
        <f>INDEX('LÅSTA PARAMETRAR'!$1:$1048576,ROW(L23)+$B$11*18-17,COLUMN(L23))</f>
        <v>88.79519183516976</v>
      </c>
      <c r="AB23" s="88">
        <f>INDEX('LÅSTA PARAMETRAR'!$1:$1048576,ROW(M23)+$B$11*18-17,COLUMN(M23))</f>
        <v>184.21188509575336</v>
      </c>
      <c r="AC23" s="88">
        <f>INDEX('LÅSTA PARAMETRAR'!$1:$1048576,ROW(N23)+$B$11*18-17,COLUMN(N23))</f>
        <v>6760.8085833024043</v>
      </c>
      <c r="AD23" s="102"/>
      <c r="AE23" s="88" t="str">
        <f>IF($B$11=1,'LÅSTA PARAMETRAR'!P24,IF($B$11=2,'LÅSTA PARAMETRAR'!P42,'LÅSTA PARAMETRAR'!P60))</f>
        <v>FJV TOT</v>
      </c>
      <c r="AF23" s="88">
        <f>INDEX('LÅSTA PARAMETRAR'!$1:$1048576,ROW(Q23)+$B$11*18-17,COLUMN(Q23))</f>
        <v>307.55686713918135</v>
      </c>
      <c r="AG23" s="88">
        <f>INDEX('LÅSTA PARAMETRAR'!$1:$1048576,ROW(R23)+$B$11*18-17,COLUMN(R23))</f>
        <v>286.1472943082324</v>
      </c>
      <c r="AH23" s="88">
        <f>INDEX('LÅSTA PARAMETRAR'!$1:$1048576,ROW(S23)+$B$11*18-17,COLUMN(S23))</f>
        <v>207.03695402331209</v>
      </c>
      <c r="AI23" s="88">
        <f>INDEX('LÅSTA PARAMETRAR'!$1:$1048576,ROW(T23)+$B$11*18-17,COLUMN(T23))</f>
        <v>122.2667418310856</v>
      </c>
      <c r="AJ23" s="88">
        <f>INDEX('LÅSTA PARAMETRAR'!$1:$1048576,ROW(U23)+$B$11*18-17,COLUMN(U23))</f>
        <v>1539.3154486586495</v>
      </c>
      <c r="AK23" s="88">
        <f>INDEX('LÅSTA PARAMETRAR'!$1:$1048576,ROW(V23)+$B$11*18-17,COLUMN(V23))</f>
        <v>2005.9176688251619</v>
      </c>
      <c r="AL23" s="88">
        <f>INDEX('LÅSTA PARAMETRAR'!$1:$1048576,ROW(W23)+$B$11*18-17,COLUMN(W23))</f>
        <v>1911.0057816836263</v>
      </c>
      <c r="AM23" s="88">
        <f>INDEX('LÅSTA PARAMETRAR'!$1:$1048576,ROW(X23)+$B$11*18-17,COLUMN(X23))</f>
        <v>1375.9421831637374</v>
      </c>
      <c r="AN23" s="88">
        <f>INDEX('LÅSTA PARAMETRAR'!$1:$1048576,ROW(Y23)+$B$11*18-17,COLUMN(Y23))</f>
        <v>993.56706753006483</v>
      </c>
      <c r="AO23" s="88">
        <f>INDEX('LÅSTA PARAMETRAR'!$1:$1048576,ROW(Z23)+$B$11*18-17,COLUMN(Z23))</f>
        <v>82.726500883020776</v>
      </c>
      <c r="AP23" s="88">
        <f>INDEX('LÅSTA PARAMETRAR'!$1:$1048576,ROW(AA23)+$B$11*18-17,COLUMN(AA23))</f>
        <v>130.26540990396131</v>
      </c>
      <c r="AQ23" s="88">
        <f>INDEX('LÅSTA PARAMETRAR'!$1:$1048576,ROW(AB23)+$B$11*18-17,COLUMN(AB23))</f>
        <v>289.0349140436299</v>
      </c>
      <c r="AR23" s="88">
        <f>INDEX('LÅSTA PARAMETRAR'!$1:$1048576,ROW(AC23)+$B$11*18-17,COLUMN(AC23))</f>
        <v>9250.7828319936616</v>
      </c>
      <c r="AT23" s="52" t="s">
        <v>68</v>
      </c>
      <c r="AU23" s="88">
        <f t="shared" si="9"/>
        <v>123.37908014558923</v>
      </c>
      <c r="AV23" s="88">
        <f t="shared" si="9"/>
        <v>108.90879426860624</v>
      </c>
      <c r="AW23" s="88">
        <f t="shared" si="9"/>
        <v>76.857276040299439</v>
      </c>
      <c r="AX23" s="88">
        <f t="shared" si="9"/>
        <v>46.044300972009182</v>
      </c>
      <c r="AY23" s="88">
        <f t="shared" si="9"/>
        <v>455.43848288621666</v>
      </c>
      <c r="AZ23" s="88">
        <f t="shared" si="9"/>
        <v>518.63922294172062</v>
      </c>
      <c r="BA23" s="88">
        <f t="shared" si="9"/>
        <v>478.66859389454203</v>
      </c>
      <c r="BB23" s="88">
        <f t="shared" si="9"/>
        <v>320.31406105457904</v>
      </c>
      <c r="BC23" s="88">
        <f t="shared" si="10"/>
        <v>187.8556891766882</v>
      </c>
      <c r="BD23" s="88">
        <f t="shared" si="11"/>
        <v>27.575500294340316</v>
      </c>
      <c r="BE23" s="88">
        <f t="shared" si="12"/>
        <v>41.470218068791553</v>
      </c>
      <c r="BF23" s="88">
        <f t="shared" si="13"/>
        <v>104.82302894787654</v>
      </c>
      <c r="BG23" s="88">
        <f t="shared" si="14"/>
        <v>2489.9742486912573</v>
      </c>
    </row>
    <row r="24" spans="1:59" x14ac:dyDescent="0.2">
      <c r="P24" s="88">
        <f>IF($B$11=1,'LÅSTA PARAMETRAR'!A25,IF($B$11=2,'LÅSTA PARAMETRAR'!A43,'LÅSTA PARAMETRAR'!A61))</f>
        <v>0</v>
      </c>
      <c r="Q24" s="88">
        <f>INDEX('LÅSTA PARAMETRAR'!$1:$1048576,ROW(B24)+$B$11*18-17,COLUMN(B24))</f>
        <v>0</v>
      </c>
      <c r="R24" s="88">
        <f>INDEX('LÅSTA PARAMETRAR'!$1:$1048576,ROW(C24)+$B$11*18-17,COLUMN(C24))</f>
        <v>0</v>
      </c>
      <c r="S24" s="88">
        <f>INDEX('LÅSTA PARAMETRAR'!$1:$1048576,ROW(D24)+$B$11*18-17,COLUMN(D24))</f>
        <v>0</v>
      </c>
      <c r="T24" s="88">
        <f>INDEX('LÅSTA PARAMETRAR'!$1:$1048576,ROW(E24)+$B$11*18-17,COLUMN(E24))</f>
        <v>0</v>
      </c>
      <c r="U24" s="88">
        <f>INDEX('LÅSTA PARAMETRAR'!$1:$1048576,ROW(F24)+$B$11*18-17,COLUMN(F24))</f>
        <v>0</v>
      </c>
      <c r="V24" s="88">
        <f>INDEX('LÅSTA PARAMETRAR'!$1:$1048576,ROW(G24)+$B$11*18-17,COLUMN(G24))</f>
        <v>0</v>
      </c>
      <c r="W24" s="88">
        <f>INDEX('LÅSTA PARAMETRAR'!$1:$1048576,ROW(H24)+$B$11*18-17,COLUMN(H24))</f>
        <v>0</v>
      </c>
      <c r="X24" s="88">
        <f>INDEX('LÅSTA PARAMETRAR'!$1:$1048576,ROW(I24)+$B$11*18-17,COLUMN(I24))</f>
        <v>0</v>
      </c>
      <c r="Y24" s="88">
        <f>INDEX('LÅSTA PARAMETRAR'!$1:$1048576,ROW(J24)+$B$11*18-17,COLUMN(J24))</f>
        <v>0</v>
      </c>
      <c r="Z24" s="88">
        <f>INDEX('LÅSTA PARAMETRAR'!$1:$1048576,ROW(K24)+$B$11*18-17,COLUMN(K24))</f>
        <v>0</v>
      </c>
      <c r="AA24" s="88">
        <f>INDEX('LÅSTA PARAMETRAR'!$1:$1048576,ROW(L24)+$B$11*18-17,COLUMN(L24))</f>
        <v>0</v>
      </c>
      <c r="AB24" s="88">
        <f>INDEX('LÅSTA PARAMETRAR'!$1:$1048576,ROW(M24)+$B$11*18-17,COLUMN(M24))</f>
        <v>0</v>
      </c>
      <c r="AC24" s="88">
        <f>INDEX('LÅSTA PARAMETRAR'!$1:$1048576,ROW(N24)+$B$11*18-17,COLUMN(N24))</f>
        <v>0</v>
      </c>
      <c r="AD24" s="102"/>
      <c r="AE24" s="88">
        <f>IF($B$11=1,'LÅSTA PARAMETRAR'!P25,IF($B$11=2,'LÅSTA PARAMETRAR'!P43,'LÅSTA PARAMETRAR'!P61))</f>
        <v>0</v>
      </c>
      <c r="AF24" s="88">
        <f>INDEX('LÅSTA PARAMETRAR'!$1:$1048576,ROW(Q24)+$B$11*18-17,COLUMN(Q24))</f>
        <v>0</v>
      </c>
      <c r="AG24" s="88">
        <f>INDEX('LÅSTA PARAMETRAR'!$1:$1048576,ROW(R24)+$B$11*18-17,COLUMN(R24))</f>
        <v>0</v>
      </c>
      <c r="AH24" s="88">
        <f>INDEX('LÅSTA PARAMETRAR'!$1:$1048576,ROW(S24)+$B$11*18-17,COLUMN(S24))</f>
        <v>0</v>
      </c>
      <c r="AI24" s="88">
        <f>INDEX('LÅSTA PARAMETRAR'!$1:$1048576,ROW(T24)+$B$11*18-17,COLUMN(T24))</f>
        <v>0</v>
      </c>
      <c r="AJ24" s="88">
        <f>INDEX('LÅSTA PARAMETRAR'!$1:$1048576,ROW(U24)+$B$11*18-17,COLUMN(U24))</f>
        <v>0</v>
      </c>
      <c r="AK24" s="88">
        <f>INDEX('LÅSTA PARAMETRAR'!$1:$1048576,ROW(V24)+$B$11*18-17,COLUMN(V24))</f>
        <v>0</v>
      </c>
      <c r="AL24" s="88">
        <f>INDEX('LÅSTA PARAMETRAR'!$1:$1048576,ROW(W24)+$B$11*18-17,COLUMN(W24))</f>
        <v>0</v>
      </c>
      <c r="AM24" s="88">
        <f>INDEX('LÅSTA PARAMETRAR'!$1:$1048576,ROW(X24)+$B$11*18-17,COLUMN(X24))</f>
        <v>0</v>
      </c>
      <c r="AN24" s="88">
        <f>INDEX('LÅSTA PARAMETRAR'!$1:$1048576,ROW(Y24)+$B$11*18-17,COLUMN(Y24))</f>
        <v>0</v>
      </c>
      <c r="AO24" s="88">
        <f>INDEX('LÅSTA PARAMETRAR'!$1:$1048576,ROW(Z24)+$B$11*18-17,COLUMN(Z24))</f>
        <v>0</v>
      </c>
      <c r="AP24" s="88">
        <f>INDEX('LÅSTA PARAMETRAR'!$1:$1048576,ROW(AA24)+$B$11*18-17,COLUMN(AA24))</f>
        <v>0</v>
      </c>
      <c r="AQ24" s="88">
        <f>INDEX('LÅSTA PARAMETRAR'!$1:$1048576,ROW(AB24)+$B$11*18-17,COLUMN(AB24))</f>
        <v>0</v>
      </c>
      <c r="AR24" s="88">
        <f>INDEX('LÅSTA PARAMETRAR'!$1:$1048576,ROW(AC24)+$B$11*18-17,COLUMN(AC24))</f>
        <v>0</v>
      </c>
    </row>
    <row r="25" spans="1:59" x14ac:dyDescent="0.2">
      <c r="A25" s="19" t="s">
        <v>244</v>
      </c>
      <c r="B25" s="17" t="s">
        <v>20</v>
      </c>
      <c r="C25" s="17" t="s">
        <v>21</v>
      </c>
      <c r="D25" s="17" t="s">
        <v>22</v>
      </c>
      <c r="E25" s="17" t="s">
        <v>23</v>
      </c>
      <c r="F25" s="17" t="s">
        <v>24</v>
      </c>
      <c r="G25" s="17" t="s">
        <v>25</v>
      </c>
      <c r="H25" s="17" t="s">
        <v>26</v>
      </c>
      <c r="I25" s="17" t="s">
        <v>27</v>
      </c>
      <c r="J25" s="17" t="s">
        <v>28</v>
      </c>
      <c r="K25" s="17" t="s">
        <v>29</v>
      </c>
      <c r="L25" s="17" t="s">
        <v>30</v>
      </c>
      <c r="M25" s="17" t="s">
        <v>31</v>
      </c>
      <c r="N25" s="23" t="s">
        <v>53</v>
      </c>
      <c r="P25" s="88" t="str">
        <f>IF($B$11=1,'LÅSTA PARAMETRAR'!A26,IF($B$11=2,'LÅSTA PARAMETRAR'!A44,'LÅSTA PARAMETRAR'!A62))</f>
        <v>Lager</v>
      </c>
      <c r="Q25" s="88" t="str">
        <f>IF($B$11=1,'LÅSTA PARAMETRAR'!B26,IF($B$11=2,'LÅSTA PARAMETRAR'!B44,'LÅSTA PARAMETRAR'!B62))</f>
        <v>jan</v>
      </c>
      <c r="R25" s="88" t="str">
        <f>IF($B$11=1,'LÅSTA PARAMETRAR'!C26,IF($B$11=2,'LÅSTA PARAMETRAR'!C44,'LÅSTA PARAMETRAR'!C62))</f>
        <v>feb</v>
      </c>
      <c r="S25" s="88" t="str">
        <f>IF($B$11=1,'LÅSTA PARAMETRAR'!D26,IF($B$11=2,'LÅSTA PARAMETRAR'!D44,'LÅSTA PARAMETRAR'!D62))</f>
        <v>mar</v>
      </c>
      <c r="T25" s="88" t="str">
        <f>IF($B$11=1,'LÅSTA PARAMETRAR'!E26,IF($B$11=2,'LÅSTA PARAMETRAR'!E44,'LÅSTA PARAMETRAR'!E62))</f>
        <v>apr</v>
      </c>
      <c r="U25" s="88" t="str">
        <f>IF($B$11=1,'LÅSTA PARAMETRAR'!F26,IF($B$11=2,'LÅSTA PARAMETRAR'!F44,'LÅSTA PARAMETRAR'!F62))</f>
        <v>maj</v>
      </c>
      <c r="V25" s="88" t="str">
        <f>IF($B$11=1,'LÅSTA PARAMETRAR'!G26,IF($B$11=2,'LÅSTA PARAMETRAR'!G44,'LÅSTA PARAMETRAR'!G62))</f>
        <v>jun</v>
      </c>
      <c r="W25" s="88" t="str">
        <f>IF($B$11=1,'LÅSTA PARAMETRAR'!H26,IF($B$11=2,'LÅSTA PARAMETRAR'!H44,'LÅSTA PARAMETRAR'!H62))</f>
        <v>jul</v>
      </c>
      <c r="X25" s="88" t="str">
        <f>IF($B$11=1,'LÅSTA PARAMETRAR'!I26,IF($B$11=2,'LÅSTA PARAMETRAR'!I44,'LÅSTA PARAMETRAR'!I62))</f>
        <v>aug</v>
      </c>
      <c r="Y25" s="88" t="str">
        <f>IF($B$11=1,'LÅSTA PARAMETRAR'!J26,IF($B$11=2,'LÅSTA PARAMETRAR'!J44,'LÅSTA PARAMETRAR'!J62))</f>
        <v>sep</v>
      </c>
      <c r="Z25" s="88" t="str">
        <f>IF($B$11=1,'LÅSTA PARAMETRAR'!K26,IF($B$11=2,'LÅSTA PARAMETRAR'!K44,'LÅSTA PARAMETRAR'!K62))</f>
        <v>okt</v>
      </c>
      <c r="AA25" s="88" t="str">
        <f>IF($B$11=1,'LÅSTA PARAMETRAR'!L26,IF($B$11=2,'LÅSTA PARAMETRAR'!L44,'LÅSTA PARAMETRAR'!L62))</f>
        <v>nov</v>
      </c>
      <c r="AB25" s="88" t="str">
        <f>IF($B$11=1,'LÅSTA PARAMETRAR'!M26,IF($B$11=2,'LÅSTA PARAMETRAR'!M44,'LÅSTA PARAMETRAR'!M62))</f>
        <v>dec</v>
      </c>
      <c r="AC25" s="88" t="str">
        <f>IF($B$11=1,'LÅSTA PARAMETRAR'!N26,IF($B$11=2,'LÅSTA PARAMETRAR'!N44,'LÅSTA PARAMETRAR'!N62))</f>
        <v>TOT</v>
      </c>
      <c r="AD25" s="102"/>
      <c r="AE25" s="88" t="str">
        <f>IF($B$11=1,'LÅSTA PARAMETRAR'!P26,IF($B$11=2,'LÅSTA PARAMETRAR'!P44,'LÅSTA PARAMETRAR'!P62))</f>
        <v>Lager</v>
      </c>
      <c r="AF25" s="88" t="str">
        <f>IF($B$11=1,'LÅSTA PARAMETRAR'!Q26,IF($B$11=2,'LÅSTA PARAMETRAR'!Q44,'LÅSTA PARAMETRAR'!Q62))</f>
        <v>jan</v>
      </c>
      <c r="AG25" s="88" t="str">
        <f>IF($B$11=1,'LÅSTA PARAMETRAR'!R26,IF($B$11=2,'LÅSTA PARAMETRAR'!R44,'LÅSTA PARAMETRAR'!R62))</f>
        <v>feb</v>
      </c>
      <c r="AH25" s="88" t="str">
        <f>IF($B$11=1,'LÅSTA PARAMETRAR'!S26,IF($B$11=2,'LÅSTA PARAMETRAR'!S44,'LÅSTA PARAMETRAR'!S62))</f>
        <v>mar</v>
      </c>
      <c r="AI25" s="88" t="str">
        <f>IF($B$11=1,'LÅSTA PARAMETRAR'!T26,IF($B$11=2,'LÅSTA PARAMETRAR'!T44,'LÅSTA PARAMETRAR'!T62))</f>
        <v>apr</v>
      </c>
      <c r="AJ25" s="88" t="str">
        <f>IF($B$11=1,'LÅSTA PARAMETRAR'!U26,IF($B$11=2,'LÅSTA PARAMETRAR'!U44,'LÅSTA PARAMETRAR'!U62))</f>
        <v>maj</v>
      </c>
      <c r="AK25" s="88" t="str">
        <f>IF($B$11=1,'LÅSTA PARAMETRAR'!V26,IF($B$11=2,'LÅSTA PARAMETRAR'!V44,'LÅSTA PARAMETRAR'!V62))</f>
        <v>jun</v>
      </c>
      <c r="AL25" s="88" t="str">
        <f>IF($B$11=1,'LÅSTA PARAMETRAR'!W26,IF($B$11=2,'LÅSTA PARAMETRAR'!W44,'LÅSTA PARAMETRAR'!W62))</f>
        <v>jul</v>
      </c>
      <c r="AM25" s="88" t="str">
        <f>IF($B$11=1,'LÅSTA PARAMETRAR'!X26,IF($B$11=2,'LÅSTA PARAMETRAR'!X44,'LÅSTA PARAMETRAR'!X62))</f>
        <v>aug</v>
      </c>
      <c r="AN25" s="88" t="str">
        <f>IF($B$11=1,'LÅSTA PARAMETRAR'!Y26,IF($B$11=2,'LÅSTA PARAMETRAR'!Y44,'LÅSTA PARAMETRAR'!Y62))</f>
        <v>sep</v>
      </c>
      <c r="AO25" s="88" t="str">
        <f>IF($B$11=1,'LÅSTA PARAMETRAR'!Z26,IF($B$11=2,'LÅSTA PARAMETRAR'!Z44,'LÅSTA PARAMETRAR'!Z62))</f>
        <v>okt</v>
      </c>
      <c r="AP25" s="88" t="str">
        <f>IF($B$11=1,'LÅSTA PARAMETRAR'!AA26,IF($B$11=2,'LÅSTA PARAMETRAR'!AA44,'LÅSTA PARAMETRAR'!AA62))</f>
        <v>nov</v>
      </c>
      <c r="AQ25" s="88" t="str">
        <f>IF($B$11=1,'LÅSTA PARAMETRAR'!AB26,IF($B$11=2,'LÅSTA PARAMETRAR'!AB44,'LÅSTA PARAMETRAR'!AB62))</f>
        <v>dec</v>
      </c>
      <c r="AR25" s="88" t="str">
        <f>IF($B$11=1,'LÅSTA PARAMETRAR'!AC26,IF($B$11=2,'LÅSTA PARAMETRAR'!AC44,'LÅSTA PARAMETRAR'!AC62))</f>
        <v>TOT</v>
      </c>
      <c r="AT25" s="19" t="s">
        <v>73</v>
      </c>
      <c r="AU25" s="17" t="s">
        <v>20</v>
      </c>
      <c r="AV25" s="17" t="s">
        <v>21</v>
      </c>
      <c r="AW25" s="17" t="s">
        <v>22</v>
      </c>
      <c r="AX25" s="17" t="s">
        <v>23</v>
      </c>
      <c r="AY25" s="17" t="s">
        <v>24</v>
      </c>
      <c r="AZ25" s="17" t="s">
        <v>25</v>
      </c>
      <c r="BA25" s="17" t="s">
        <v>26</v>
      </c>
      <c r="BB25" s="17" t="s">
        <v>27</v>
      </c>
      <c r="BC25" s="17" t="s">
        <v>28</v>
      </c>
      <c r="BD25" s="17" t="s">
        <v>29</v>
      </c>
      <c r="BE25" s="17" t="s">
        <v>30</v>
      </c>
      <c r="BF25" s="17" t="s">
        <v>31</v>
      </c>
      <c r="BG25" s="23" t="s">
        <v>53</v>
      </c>
    </row>
    <row r="26" spans="1:59" x14ac:dyDescent="0.2">
      <c r="A26" s="54" t="s">
        <v>98</v>
      </c>
      <c r="B26" s="254">
        <f t="shared" ref="B26:I28" si="15">Q26+AU26*$C$12</f>
        <v>0</v>
      </c>
      <c r="C26" s="254">
        <f t="shared" si="15"/>
        <v>0</v>
      </c>
      <c r="D26" s="254">
        <f t="shared" si="15"/>
        <v>0</v>
      </c>
      <c r="E26" s="254">
        <f t="shared" si="15"/>
        <v>0</v>
      </c>
      <c r="F26" s="254">
        <f t="shared" si="15"/>
        <v>1022.4328909825018</v>
      </c>
      <c r="G26" s="254">
        <f t="shared" si="15"/>
        <v>1570.9524954314541</v>
      </c>
      <c r="H26" s="254">
        <f t="shared" si="15"/>
        <v>1533.6773567963733</v>
      </c>
      <c r="I26" s="254">
        <f t="shared" si="15"/>
        <v>1050.2064140778239</v>
      </c>
      <c r="J26" s="254">
        <f t="shared" ref="J26:J28" si="16">Y26+BC26*$C$12</f>
        <v>654.19049908629074</v>
      </c>
      <c r="K26" s="254">
        <f t="shared" ref="K26:K28" si="17">Z26+BD26*$C$12</f>
        <v>0</v>
      </c>
      <c r="L26" s="254">
        <f t="shared" ref="L26:L28" si="18">AA26+BE26*$C$12</f>
        <v>0</v>
      </c>
      <c r="M26" s="254">
        <f t="shared" ref="M26:M28" si="19">AB26+BF26*$C$12</f>
        <v>0</v>
      </c>
      <c r="N26" s="254">
        <f t="shared" ref="N26:N28" si="20">AC26+BG26*$C$12</f>
        <v>5831.4596563744435</v>
      </c>
      <c r="P26" s="88" t="str">
        <f>IF($B$11=1,'LÅSTA PARAMETRAR'!A27,IF($B$11=2,'LÅSTA PARAMETRAR'!A45,'LÅSTA PARAMETRAR'!A63))</f>
        <v>FJV</v>
      </c>
      <c r="Q26" s="88">
        <f>INDEX('LÅSTA PARAMETRAR'!$1:$1048576,ROW(B26)+$B$11*18-17,COLUMN(B26))</f>
        <v>0</v>
      </c>
      <c r="R26" s="88">
        <f>INDEX('LÅSTA PARAMETRAR'!$1:$1048576,ROW(C26)+$B$11*18-17,COLUMN(C26))</f>
        <v>0</v>
      </c>
      <c r="S26" s="88">
        <f>INDEX('LÅSTA PARAMETRAR'!$1:$1048576,ROW(D26)+$B$11*18-17,COLUMN(D26))</f>
        <v>0</v>
      </c>
      <c r="T26" s="88">
        <f>INDEX('LÅSTA PARAMETRAR'!$1:$1048576,ROW(E26)+$B$11*18-17,COLUMN(E26))</f>
        <v>0</v>
      </c>
      <c r="U26" s="88">
        <f>INDEX('LÅSTA PARAMETRAR'!$1:$1048576,ROW(F26)+$B$11*18-17,COLUMN(F26))</f>
        <v>855</v>
      </c>
      <c r="V26" s="88">
        <f>INDEX('LÅSTA PARAMETRAR'!$1:$1048576,ROW(G26)+$B$11*18-17,COLUMN(G26))</f>
        <v>1350</v>
      </c>
      <c r="W26" s="88">
        <f>INDEX('LÅSTA PARAMETRAR'!$1:$1048576,ROW(H26)+$B$11*18-17,COLUMN(H26))</f>
        <v>1325</v>
      </c>
      <c r="X26" s="88">
        <f>INDEX('LÅSTA PARAMETRAR'!$1:$1048576,ROW(I26)+$B$11*18-17,COLUMN(I26))</f>
        <v>925</v>
      </c>
      <c r="Y26" s="88">
        <f>INDEX('LÅSTA PARAMETRAR'!$1:$1048576,ROW(J26)+$B$11*18-17,COLUMN(J26))</f>
        <v>610</v>
      </c>
      <c r="Z26" s="88">
        <f>INDEX('LÅSTA PARAMETRAR'!$1:$1048576,ROW(K26)+$B$11*18-17,COLUMN(K26))</f>
        <v>0</v>
      </c>
      <c r="AA26" s="88">
        <f>INDEX('LÅSTA PARAMETRAR'!$1:$1048576,ROW(L26)+$B$11*18-17,COLUMN(L26))</f>
        <v>0</v>
      </c>
      <c r="AB26" s="88">
        <f>INDEX('LÅSTA PARAMETRAR'!$1:$1048576,ROW(M26)+$B$11*18-17,COLUMN(M26))</f>
        <v>0</v>
      </c>
      <c r="AC26" s="88">
        <f>INDEX('LÅSTA PARAMETRAR'!$1:$1048576,ROW(N26)+$B$11*18-17,COLUMN(N26))</f>
        <v>5065</v>
      </c>
      <c r="AD26" s="102"/>
      <c r="AE26" s="88" t="str">
        <f>IF($B$11=1,'LÅSTA PARAMETRAR'!P27,IF($B$11=2,'LÅSTA PARAMETRAR'!P45,'LÅSTA PARAMETRAR'!P63))</f>
        <v>FJV</v>
      </c>
      <c r="AF26" s="88">
        <f>INDEX('LÅSTA PARAMETRAR'!$1:$1048576,ROW(Q26)+$B$11*18-17,COLUMN(Q26))</f>
        <v>0</v>
      </c>
      <c r="AG26" s="88">
        <f>INDEX('LÅSTA PARAMETRAR'!$1:$1048576,ROW(R26)+$B$11*18-17,COLUMN(R26))</f>
        <v>0</v>
      </c>
      <c r="AH26" s="88">
        <f>INDEX('LÅSTA PARAMETRAR'!$1:$1048576,ROW(S26)+$B$11*18-17,COLUMN(S26))</f>
        <v>0</v>
      </c>
      <c r="AI26" s="88">
        <f>INDEX('LÅSTA PARAMETRAR'!$1:$1048576,ROW(T26)+$B$11*18-17,COLUMN(T26))</f>
        <v>0</v>
      </c>
      <c r="AJ26" s="88">
        <f>INDEX('LÅSTA PARAMETRAR'!$1:$1048576,ROW(U26)+$B$11*18-17,COLUMN(U26))</f>
        <v>1196</v>
      </c>
      <c r="AK26" s="88">
        <f>INDEX('LÅSTA PARAMETRAR'!$1:$1048576,ROW(V26)+$B$11*18-17,COLUMN(V26))</f>
        <v>1800</v>
      </c>
      <c r="AL26" s="88">
        <f>INDEX('LÅSTA PARAMETRAR'!$1:$1048576,ROW(W26)+$B$11*18-17,COLUMN(W26))</f>
        <v>1750</v>
      </c>
      <c r="AM26" s="88">
        <f>INDEX('LÅSTA PARAMETRAR'!$1:$1048576,ROW(X26)+$B$11*18-17,COLUMN(X26))</f>
        <v>1180</v>
      </c>
      <c r="AN26" s="88">
        <f>INDEX('LÅSTA PARAMETRAR'!$1:$1048576,ROW(Y26)+$B$11*18-17,COLUMN(Y26))</f>
        <v>700</v>
      </c>
      <c r="AO26" s="88">
        <f>INDEX('LÅSTA PARAMETRAR'!$1:$1048576,ROW(Z26)+$B$11*18-17,COLUMN(Z26))</f>
        <v>0</v>
      </c>
      <c r="AP26" s="88">
        <f>INDEX('LÅSTA PARAMETRAR'!$1:$1048576,ROW(AA26)+$B$11*18-17,COLUMN(AA26))</f>
        <v>0</v>
      </c>
      <c r="AQ26" s="88">
        <f>INDEX('LÅSTA PARAMETRAR'!$1:$1048576,ROW(AB26)+$B$11*18-17,COLUMN(AB26))</f>
        <v>0</v>
      </c>
      <c r="AR26" s="88">
        <f>INDEX('LÅSTA PARAMETRAR'!$1:$1048576,ROW(AC26)+$B$11*18-17,COLUMN(AC26))</f>
        <v>6626</v>
      </c>
      <c r="AT26" s="54" t="s">
        <v>70</v>
      </c>
      <c r="AU26" s="88">
        <f t="shared" ref="AU26:BB28" si="21">AF26-Q26</f>
        <v>0</v>
      </c>
      <c r="AV26" s="88">
        <f t="shared" si="21"/>
        <v>0</v>
      </c>
      <c r="AW26" s="88">
        <f t="shared" si="21"/>
        <v>0</v>
      </c>
      <c r="AX26" s="88">
        <f t="shared" si="21"/>
        <v>0</v>
      </c>
      <c r="AY26" s="88">
        <f t="shared" si="21"/>
        <v>341</v>
      </c>
      <c r="AZ26" s="88">
        <f t="shared" si="21"/>
        <v>450</v>
      </c>
      <c r="BA26" s="88">
        <f t="shared" si="21"/>
        <v>425</v>
      </c>
      <c r="BB26" s="88">
        <f t="shared" si="21"/>
        <v>255</v>
      </c>
      <c r="BC26" s="88">
        <f t="shared" ref="BC26:BC28" si="22">AN26-Y26</f>
        <v>90</v>
      </c>
      <c r="BD26" s="88">
        <f t="shared" ref="BD26:BD28" si="23">AO26-Z26</f>
        <v>0</v>
      </c>
      <c r="BE26" s="88">
        <f t="shared" ref="BE26:BE28" si="24">AP26-AA26</f>
        <v>0</v>
      </c>
      <c r="BF26" s="88">
        <f t="shared" ref="BF26:BF28" si="25">AQ26-AB26</f>
        <v>0</v>
      </c>
      <c r="BG26" s="88">
        <f t="shared" ref="BG26:BG28" si="26">AR26-AC26</f>
        <v>1561</v>
      </c>
    </row>
    <row r="27" spans="1:59" x14ac:dyDescent="0.2">
      <c r="A27" s="57" t="s">
        <v>99</v>
      </c>
      <c r="B27" s="254">
        <f t="shared" si="15"/>
        <v>491.45295380935573</v>
      </c>
      <c r="C27" s="254">
        <f t="shared" si="15"/>
        <v>459.48893162774283</v>
      </c>
      <c r="D27" s="254">
        <f t="shared" si="15"/>
        <v>474.87200371798485</v>
      </c>
      <c r="E27" s="254">
        <f t="shared" si="15"/>
        <v>358.75876526564588</v>
      </c>
      <c r="F27" s="254">
        <f t="shared" si="15"/>
        <v>0</v>
      </c>
      <c r="G27" s="254">
        <f t="shared" si="15"/>
        <v>0</v>
      </c>
      <c r="H27" s="254">
        <f t="shared" si="15"/>
        <v>0</v>
      </c>
      <c r="I27" s="254">
        <f t="shared" si="15"/>
        <v>0</v>
      </c>
      <c r="J27" s="254">
        <f t="shared" si="16"/>
        <v>0</v>
      </c>
      <c r="K27" s="254">
        <f t="shared" si="17"/>
        <v>357.21379299266204</v>
      </c>
      <c r="L27" s="254">
        <f t="shared" si="18"/>
        <v>450.85401480879125</v>
      </c>
      <c r="M27" s="254">
        <f t="shared" si="19"/>
        <v>454.45295380935573</v>
      </c>
      <c r="N27" s="254">
        <f t="shared" si="20"/>
        <v>3047.0934160315383</v>
      </c>
      <c r="P27" s="88" t="str">
        <f>IF($B$11=1,'LÅSTA PARAMETRAR'!A28,IF($B$11=2,'LÅSTA PARAMETRAR'!A46,'LÅSTA PARAMETRAR'!A64))</f>
        <v>BYGGNAD</v>
      </c>
      <c r="Q27" s="88">
        <f>INDEX('LÅSTA PARAMETRAR'!$1:$1048576,ROW(B27)+$B$11*18-17,COLUMN(B27))</f>
        <v>407</v>
      </c>
      <c r="R27" s="88">
        <f>INDEX('LÅSTA PARAMETRAR'!$1:$1048576,ROW(C27)+$B$11*18-17,COLUMN(C27))</f>
        <v>377</v>
      </c>
      <c r="S27" s="88">
        <f>INDEX('LÅSTA PARAMETRAR'!$1:$1048576,ROW(D27)+$B$11*18-17,COLUMN(D27))</f>
        <v>386</v>
      </c>
      <c r="T27" s="88">
        <f>INDEX('LÅSTA PARAMETRAR'!$1:$1048576,ROW(E27)+$B$11*18-17,COLUMN(E27))</f>
        <v>291</v>
      </c>
      <c r="U27" s="88">
        <f>INDEX('LÅSTA PARAMETRAR'!$1:$1048576,ROW(F27)+$B$11*18-17,COLUMN(F27))</f>
        <v>0</v>
      </c>
      <c r="V27" s="88">
        <f>INDEX('LÅSTA PARAMETRAR'!$1:$1048576,ROW(G27)+$B$11*18-17,COLUMN(G27))</f>
        <v>0</v>
      </c>
      <c r="W27" s="88">
        <f>INDEX('LÅSTA PARAMETRAR'!$1:$1048576,ROW(H27)+$B$11*18-17,COLUMN(H27))</f>
        <v>0</v>
      </c>
      <c r="X27" s="88">
        <f>INDEX('LÅSTA PARAMETRAR'!$1:$1048576,ROW(I27)+$B$11*18-17,COLUMN(I27))</f>
        <v>0</v>
      </c>
      <c r="Y27" s="88">
        <f>INDEX('LÅSTA PARAMETRAR'!$1:$1048576,ROW(J27)+$B$11*18-17,COLUMN(J27))</f>
        <v>0</v>
      </c>
      <c r="Z27" s="88">
        <f>INDEX('LÅSTA PARAMETRAR'!$1:$1048576,ROW(K27)+$B$11*18-17,COLUMN(K27))</f>
        <v>287</v>
      </c>
      <c r="AA27" s="88">
        <f>INDEX('LÅSTA PARAMETRAR'!$1:$1048576,ROW(L27)+$B$11*18-17,COLUMN(L27))</f>
        <v>361</v>
      </c>
      <c r="AB27" s="88">
        <f>INDEX('LÅSTA PARAMETRAR'!$1:$1048576,ROW(M27)+$B$11*18-17,COLUMN(M27))</f>
        <v>370</v>
      </c>
      <c r="AC27" s="88">
        <f>INDEX('LÅSTA PARAMETRAR'!$1:$1048576,ROW(N27)+$B$11*18-17,COLUMN(N27))</f>
        <v>2479</v>
      </c>
      <c r="AD27" s="102"/>
      <c r="AE27" s="88" t="str">
        <f>IF($B$11=1,'LÅSTA PARAMETRAR'!P28,IF($B$11=2,'LÅSTA PARAMETRAR'!P46,'LÅSTA PARAMETRAR'!P64))</f>
        <v>BYGGNAD</v>
      </c>
      <c r="AF27" s="88">
        <f>INDEX('LÅSTA PARAMETRAR'!$1:$1048576,ROW(Q27)+$B$11*18-17,COLUMN(Q27))</f>
        <v>579</v>
      </c>
      <c r="AG27" s="88">
        <f>INDEX('LÅSTA PARAMETRAR'!$1:$1048576,ROW(R27)+$B$11*18-17,COLUMN(R27))</f>
        <v>545</v>
      </c>
      <c r="AH27" s="88">
        <f>INDEX('LÅSTA PARAMETRAR'!$1:$1048576,ROW(S27)+$B$11*18-17,COLUMN(S27))</f>
        <v>567</v>
      </c>
      <c r="AI27" s="88">
        <f>INDEX('LÅSTA PARAMETRAR'!$1:$1048576,ROW(T27)+$B$11*18-17,COLUMN(T27))</f>
        <v>429</v>
      </c>
      <c r="AJ27" s="88">
        <f>INDEX('LÅSTA PARAMETRAR'!$1:$1048576,ROW(U27)+$B$11*18-17,COLUMN(U27))</f>
        <v>0</v>
      </c>
      <c r="AK27" s="88">
        <f>INDEX('LÅSTA PARAMETRAR'!$1:$1048576,ROW(V27)+$B$11*18-17,COLUMN(V27))</f>
        <v>0</v>
      </c>
      <c r="AL27" s="88">
        <f>INDEX('LÅSTA PARAMETRAR'!$1:$1048576,ROW(W27)+$B$11*18-17,COLUMN(W27))</f>
        <v>0</v>
      </c>
      <c r="AM27" s="88">
        <f>INDEX('LÅSTA PARAMETRAR'!$1:$1048576,ROW(X27)+$B$11*18-17,COLUMN(X27))</f>
        <v>0</v>
      </c>
      <c r="AN27" s="88">
        <f>INDEX('LÅSTA PARAMETRAR'!$1:$1048576,ROW(Y27)+$B$11*18-17,COLUMN(Y27))</f>
        <v>0</v>
      </c>
      <c r="AO27" s="88">
        <f>INDEX('LÅSTA PARAMETRAR'!$1:$1048576,ROW(Z27)+$B$11*18-17,COLUMN(Z27))</f>
        <v>430</v>
      </c>
      <c r="AP27" s="88">
        <f>INDEX('LÅSTA PARAMETRAR'!$1:$1048576,ROW(AA27)+$B$11*18-17,COLUMN(AA27))</f>
        <v>544</v>
      </c>
      <c r="AQ27" s="88">
        <f>INDEX('LÅSTA PARAMETRAR'!$1:$1048576,ROW(AB27)+$B$11*18-17,COLUMN(AB27))</f>
        <v>542</v>
      </c>
      <c r="AR27" s="88">
        <f>INDEX('LÅSTA PARAMETRAR'!$1:$1048576,ROW(AC27)+$B$11*18-17,COLUMN(AC27))</f>
        <v>3636</v>
      </c>
      <c r="AT27" s="57" t="s">
        <v>71</v>
      </c>
      <c r="AU27" s="88">
        <f t="shared" si="21"/>
        <v>172</v>
      </c>
      <c r="AV27" s="88">
        <f t="shared" si="21"/>
        <v>168</v>
      </c>
      <c r="AW27" s="88">
        <f t="shared" si="21"/>
        <v>181</v>
      </c>
      <c r="AX27" s="88">
        <f t="shared" si="21"/>
        <v>138</v>
      </c>
      <c r="AY27" s="88">
        <f t="shared" si="21"/>
        <v>0</v>
      </c>
      <c r="AZ27" s="88">
        <f t="shared" si="21"/>
        <v>0</v>
      </c>
      <c r="BA27" s="88">
        <f t="shared" si="21"/>
        <v>0</v>
      </c>
      <c r="BB27" s="88">
        <f t="shared" si="21"/>
        <v>0</v>
      </c>
      <c r="BC27" s="88">
        <f t="shared" si="22"/>
        <v>0</v>
      </c>
      <c r="BD27" s="88">
        <f t="shared" si="23"/>
        <v>143</v>
      </c>
      <c r="BE27" s="88">
        <f t="shared" si="24"/>
        <v>183</v>
      </c>
      <c r="BF27" s="88">
        <f t="shared" si="25"/>
        <v>172</v>
      </c>
      <c r="BG27" s="88">
        <f t="shared" si="26"/>
        <v>1157</v>
      </c>
    </row>
    <row r="28" spans="1:59" x14ac:dyDescent="0.2">
      <c r="A28" s="56" t="s">
        <v>72</v>
      </c>
      <c r="B28" s="254">
        <f t="shared" si="15"/>
        <v>0</v>
      </c>
      <c r="C28" s="254">
        <f t="shared" si="15"/>
        <v>0</v>
      </c>
      <c r="D28" s="254">
        <f t="shared" si="15"/>
        <v>0</v>
      </c>
      <c r="E28" s="254">
        <f t="shared" si="15"/>
        <v>0</v>
      </c>
      <c r="F28" s="254">
        <f t="shared" si="15"/>
        <v>0</v>
      </c>
      <c r="G28" s="254">
        <f t="shared" si="15"/>
        <v>0</v>
      </c>
      <c r="H28" s="254">
        <f t="shared" si="15"/>
        <v>0</v>
      </c>
      <c r="I28" s="254">
        <f t="shared" si="15"/>
        <v>0</v>
      </c>
      <c r="J28" s="254">
        <f t="shared" si="16"/>
        <v>0</v>
      </c>
      <c r="K28" s="254">
        <f t="shared" si="17"/>
        <v>0</v>
      </c>
      <c r="L28" s="254">
        <f t="shared" si="18"/>
        <v>0</v>
      </c>
      <c r="M28" s="254">
        <f t="shared" si="19"/>
        <v>0</v>
      </c>
      <c r="N28" s="254">
        <f t="shared" si="20"/>
        <v>2784.3662403429053</v>
      </c>
      <c r="P28" s="98" t="str">
        <f>IF($B$11=1,'LÅSTA PARAMETRAR'!A29,IF($B$11=2,'LÅSTA PARAMETRAR'!A47,'LÅSTA PARAMETRAR'!A65))</f>
        <v>FÖRLUST</v>
      </c>
      <c r="Q28" s="88">
        <f>INDEX('LÅSTA PARAMETRAR'!$1:$1048576,ROW(B28)+$B$11*18-17,COLUMN(B28))</f>
        <v>0</v>
      </c>
      <c r="R28" s="88">
        <f>INDEX('LÅSTA PARAMETRAR'!$1:$1048576,ROW(C28)+$B$11*18-17,COLUMN(C28))</f>
        <v>0</v>
      </c>
      <c r="S28" s="88">
        <f>INDEX('LÅSTA PARAMETRAR'!$1:$1048576,ROW(D28)+$B$11*18-17,COLUMN(D28))</f>
        <v>0</v>
      </c>
      <c r="T28" s="88">
        <f>INDEX('LÅSTA PARAMETRAR'!$1:$1048576,ROW(E28)+$B$11*18-17,COLUMN(E28))</f>
        <v>0</v>
      </c>
      <c r="U28" s="88">
        <f>INDEX('LÅSTA PARAMETRAR'!$1:$1048576,ROW(F28)+$B$11*18-17,COLUMN(F28))</f>
        <v>0</v>
      </c>
      <c r="V28" s="88">
        <f>INDEX('LÅSTA PARAMETRAR'!$1:$1048576,ROW(G28)+$B$11*18-17,COLUMN(G28))</f>
        <v>0</v>
      </c>
      <c r="W28" s="88">
        <f>INDEX('LÅSTA PARAMETRAR'!$1:$1048576,ROW(H28)+$B$11*18-17,COLUMN(H28))</f>
        <v>0</v>
      </c>
      <c r="X28" s="88">
        <f>INDEX('LÅSTA PARAMETRAR'!$1:$1048576,ROW(I28)+$B$11*18-17,COLUMN(I28))</f>
        <v>0</v>
      </c>
      <c r="Y28" s="88">
        <f>INDEX('LÅSTA PARAMETRAR'!$1:$1048576,ROW(J28)+$B$11*18-17,COLUMN(J28))</f>
        <v>0</v>
      </c>
      <c r="Z28" s="88">
        <f>INDEX('LÅSTA PARAMETRAR'!$1:$1048576,ROW(K28)+$B$11*18-17,COLUMN(K28))</f>
        <v>0</v>
      </c>
      <c r="AA28" s="88">
        <f>INDEX('LÅSTA PARAMETRAR'!$1:$1048576,ROW(L28)+$B$11*18-17,COLUMN(L28))</f>
        <v>0</v>
      </c>
      <c r="AB28" s="88">
        <f>INDEX('LÅSTA PARAMETRAR'!$1:$1048576,ROW(M28)+$B$11*18-17,COLUMN(M28))</f>
        <v>0</v>
      </c>
      <c r="AC28" s="88">
        <f>INDEX('LÅSTA PARAMETRAR'!$1:$1048576,ROW(N28)+$B$11*18-17,COLUMN(N28))</f>
        <v>2586</v>
      </c>
      <c r="AD28" s="102"/>
      <c r="AE28" s="88" t="str">
        <f>IF($B$11=1,'LÅSTA PARAMETRAR'!P29,IF($B$11=2,'LÅSTA PARAMETRAR'!P47,'LÅSTA PARAMETRAR'!P65))</f>
        <v>FÖRLUST</v>
      </c>
      <c r="AF28" s="88">
        <f>INDEX('LÅSTA PARAMETRAR'!$1:$1048576,ROW(Q28)+$B$11*18-17,COLUMN(Q28))</f>
        <v>0</v>
      </c>
      <c r="AG28" s="88">
        <f>INDEX('LÅSTA PARAMETRAR'!$1:$1048576,ROW(R28)+$B$11*18-17,COLUMN(R28))</f>
        <v>0</v>
      </c>
      <c r="AH28" s="88">
        <f>INDEX('LÅSTA PARAMETRAR'!$1:$1048576,ROW(S28)+$B$11*18-17,COLUMN(S28))</f>
        <v>0</v>
      </c>
      <c r="AI28" s="88">
        <f>INDEX('LÅSTA PARAMETRAR'!$1:$1048576,ROW(T28)+$B$11*18-17,COLUMN(T28))</f>
        <v>0</v>
      </c>
      <c r="AJ28" s="88">
        <f>INDEX('LÅSTA PARAMETRAR'!$1:$1048576,ROW(U28)+$B$11*18-17,COLUMN(U28))</f>
        <v>0</v>
      </c>
      <c r="AK28" s="88">
        <f>INDEX('LÅSTA PARAMETRAR'!$1:$1048576,ROW(V28)+$B$11*18-17,COLUMN(V28))</f>
        <v>0</v>
      </c>
      <c r="AL28" s="88">
        <f>INDEX('LÅSTA PARAMETRAR'!$1:$1048576,ROW(W28)+$B$11*18-17,COLUMN(W28))</f>
        <v>0</v>
      </c>
      <c r="AM28" s="88">
        <f>INDEX('LÅSTA PARAMETRAR'!$1:$1048576,ROW(X28)+$B$11*18-17,COLUMN(X28))</f>
        <v>0</v>
      </c>
      <c r="AN28" s="88">
        <f>INDEX('LÅSTA PARAMETRAR'!$1:$1048576,ROW(Y28)+$B$11*18-17,COLUMN(Y28))</f>
        <v>0</v>
      </c>
      <c r="AO28" s="88">
        <f>INDEX('LÅSTA PARAMETRAR'!$1:$1048576,ROW(Z28)+$B$11*18-17,COLUMN(Z28))</f>
        <v>0</v>
      </c>
      <c r="AP28" s="88">
        <f>INDEX('LÅSTA PARAMETRAR'!$1:$1048576,ROW(AA28)+$B$11*18-17,COLUMN(AA28))</f>
        <v>0</v>
      </c>
      <c r="AQ28" s="88">
        <f>INDEX('LÅSTA PARAMETRAR'!$1:$1048576,ROW(AB28)+$B$11*18-17,COLUMN(AB28))</f>
        <v>0</v>
      </c>
      <c r="AR28" s="88">
        <f>INDEX('LÅSTA PARAMETRAR'!$1:$1048576,ROW(AC28)+$B$11*18-17,COLUMN(AC28))</f>
        <v>2990</v>
      </c>
      <c r="AT28" s="56" t="s">
        <v>72</v>
      </c>
      <c r="AU28" s="88">
        <f t="shared" si="21"/>
        <v>0</v>
      </c>
      <c r="AV28" s="88">
        <f t="shared" si="21"/>
        <v>0</v>
      </c>
      <c r="AW28" s="88">
        <f t="shared" si="21"/>
        <v>0</v>
      </c>
      <c r="AX28" s="88">
        <f t="shared" si="21"/>
        <v>0</v>
      </c>
      <c r="AY28" s="88">
        <f t="shared" si="21"/>
        <v>0</v>
      </c>
      <c r="AZ28" s="88">
        <f t="shared" si="21"/>
        <v>0</v>
      </c>
      <c r="BA28" s="88">
        <f t="shared" si="21"/>
        <v>0</v>
      </c>
      <c r="BB28" s="88">
        <f t="shared" si="21"/>
        <v>0</v>
      </c>
      <c r="BC28" s="88">
        <f t="shared" si="22"/>
        <v>0</v>
      </c>
      <c r="BD28" s="88">
        <f t="shared" si="23"/>
        <v>0</v>
      </c>
      <c r="BE28" s="88">
        <f t="shared" si="24"/>
        <v>0</v>
      </c>
      <c r="BF28" s="88">
        <f t="shared" si="25"/>
        <v>0</v>
      </c>
      <c r="BG28" s="88">
        <f t="shared" si="26"/>
        <v>404</v>
      </c>
    </row>
    <row r="30" spans="1:59" x14ac:dyDescent="0.2">
      <c r="B30" s="250"/>
    </row>
    <row r="31" spans="1:59" s="250" customFormat="1" x14ac:dyDescent="0.2">
      <c r="A31" s="19" t="s">
        <v>246</v>
      </c>
      <c r="B31" s="17" t="s">
        <v>20</v>
      </c>
      <c r="C31" s="17" t="s">
        <v>21</v>
      </c>
      <c r="D31" s="17" t="s">
        <v>22</v>
      </c>
      <c r="E31" s="17" t="s">
        <v>23</v>
      </c>
      <c r="F31" s="17" t="s">
        <v>24</v>
      </c>
      <c r="G31" s="17" t="s">
        <v>25</v>
      </c>
      <c r="H31" s="17" t="s">
        <v>26</v>
      </c>
      <c r="I31" s="17" t="s">
        <v>27</v>
      </c>
      <c r="J31" s="17" t="s">
        <v>28</v>
      </c>
      <c r="K31" s="17" t="s">
        <v>29</v>
      </c>
      <c r="L31" s="17" t="s">
        <v>30</v>
      </c>
      <c r="M31" s="17" t="s">
        <v>31</v>
      </c>
      <c r="N31" s="23" t="s">
        <v>53</v>
      </c>
      <c r="P31" s="88" t="s">
        <v>241</v>
      </c>
      <c r="Q31" s="88" t="s">
        <v>20</v>
      </c>
      <c r="R31" s="88" t="s">
        <v>21</v>
      </c>
      <c r="S31" s="88" t="s">
        <v>22</v>
      </c>
      <c r="T31" s="88" t="s">
        <v>23</v>
      </c>
      <c r="U31" s="88" t="s">
        <v>24</v>
      </c>
      <c r="V31" s="88" t="s">
        <v>25</v>
      </c>
      <c r="W31" s="88" t="s">
        <v>26</v>
      </c>
      <c r="X31" s="88" t="s">
        <v>27</v>
      </c>
      <c r="Y31" s="88" t="s">
        <v>28</v>
      </c>
      <c r="Z31" s="88" t="s">
        <v>29</v>
      </c>
      <c r="AA31" s="88" t="s">
        <v>30</v>
      </c>
      <c r="AB31" s="88" t="s">
        <v>31</v>
      </c>
      <c r="AC31" s="88" t="s">
        <v>53</v>
      </c>
      <c r="AD31" s="102"/>
      <c r="AE31" s="88" t="str">
        <f>IF($B$11=1,'LÅSTA PARAMETRAR'!P32,IF($B$11=2,'LÅSTA PARAMETRAR'!P50,'LÅSTA PARAMETRAR'!P68))</f>
        <v xml:space="preserve"> Modern energieffektiv kontorsbyggnad</v>
      </c>
      <c r="AF31" s="88" t="str">
        <f>AF25</f>
        <v>jan</v>
      </c>
      <c r="AG31" s="88" t="str">
        <f t="shared" ref="AG31:AR31" si="27">AG25</f>
        <v>feb</v>
      </c>
      <c r="AH31" s="88" t="str">
        <f t="shared" si="27"/>
        <v>mar</v>
      </c>
      <c r="AI31" s="88" t="str">
        <f t="shared" si="27"/>
        <v>apr</v>
      </c>
      <c r="AJ31" s="88" t="str">
        <f t="shared" si="27"/>
        <v>maj</v>
      </c>
      <c r="AK31" s="88" t="str">
        <f t="shared" si="27"/>
        <v>jun</v>
      </c>
      <c r="AL31" s="88" t="str">
        <f t="shared" si="27"/>
        <v>jul</v>
      </c>
      <c r="AM31" s="88" t="str">
        <f t="shared" si="27"/>
        <v>aug</v>
      </c>
      <c r="AN31" s="88" t="str">
        <f t="shared" si="27"/>
        <v>sep</v>
      </c>
      <c r="AO31" s="88" t="str">
        <f t="shared" si="27"/>
        <v>okt</v>
      </c>
      <c r="AP31" s="88" t="str">
        <f t="shared" si="27"/>
        <v>nov</v>
      </c>
      <c r="AQ31" s="88" t="str">
        <f t="shared" si="27"/>
        <v>dec</v>
      </c>
      <c r="AR31" s="88" t="str">
        <f t="shared" si="27"/>
        <v>TOT</v>
      </c>
      <c r="AT31" s="19" t="s">
        <v>73</v>
      </c>
      <c r="AU31" s="17" t="s">
        <v>20</v>
      </c>
      <c r="AV31" s="17" t="s">
        <v>21</v>
      </c>
      <c r="AW31" s="17" t="s">
        <v>22</v>
      </c>
      <c r="AX31" s="17" t="s">
        <v>23</v>
      </c>
      <c r="AY31" s="17" t="s">
        <v>24</v>
      </c>
      <c r="AZ31" s="17" t="s">
        <v>25</v>
      </c>
      <c r="BA31" s="17" t="s">
        <v>26</v>
      </c>
      <c r="BB31" s="17" t="s">
        <v>27</v>
      </c>
      <c r="BC31" s="17" t="s">
        <v>28</v>
      </c>
      <c r="BD31" s="17" t="s">
        <v>29</v>
      </c>
      <c r="BE31" s="17" t="s">
        <v>30</v>
      </c>
      <c r="BF31" s="17" t="s">
        <v>31</v>
      </c>
      <c r="BG31" s="23" t="s">
        <v>53</v>
      </c>
    </row>
    <row r="32" spans="1:59" s="250" customFormat="1" x14ac:dyDescent="0.2">
      <c r="A32" s="20" t="s">
        <v>239</v>
      </c>
      <c r="B32" s="257">
        <f>Q32+AU32*$C$12</f>
        <v>0</v>
      </c>
      <c r="C32" s="254">
        <f t="shared" ref="C32:C33" si="28">R32+AV32*$C$12</f>
        <v>0</v>
      </c>
      <c r="D32" s="254">
        <f t="shared" ref="D32:D33" si="29">S32+AW32*$C$12</f>
        <v>0</v>
      </c>
      <c r="E32" s="254">
        <f>T32+AX32*$C$12</f>
        <v>0</v>
      </c>
      <c r="F32" s="254">
        <f t="shared" ref="F32:F33" si="30">U32+AY32*$C$12</f>
        <v>4491.0055454032308</v>
      </c>
      <c r="G32" s="254">
        <f t="shared" ref="G32:G33" si="31">V32+AZ32*$C$12</f>
        <v>5736.5083181048467</v>
      </c>
      <c r="H32" s="254">
        <f t="shared" ref="H32:H33" si="32">W32+BA32*$C$12</f>
        <v>4638.3072090242003</v>
      </c>
      <c r="I32" s="254">
        <f t="shared" ref="I32:I33" si="33">X32+BB32*$C$12</f>
        <v>4040.106099943554</v>
      </c>
      <c r="J32" s="254">
        <f t="shared" ref="J32:J33" si="34">Y32+BC32*$C$12</f>
        <v>3392.8044363225849</v>
      </c>
      <c r="K32" s="254">
        <f t="shared" ref="K32:K33" si="35">Z32+BD32*$C$12</f>
        <v>2943.7038817822618</v>
      </c>
      <c r="L32" s="254">
        <f t="shared" ref="L32:L33" si="36">AA32+BE32*$C$12</f>
        <v>0</v>
      </c>
      <c r="M32" s="254">
        <f t="shared" ref="M32:M33" si="37">AB32+BF32*$C$12</f>
        <v>0</v>
      </c>
      <c r="N32" s="254">
        <f t="shared" ref="N32:N33" si="38">AC32+BG32*$C$12</f>
        <v>25242.435490580679</v>
      </c>
      <c r="P32" s="88" t="s">
        <v>242</v>
      </c>
      <c r="Q32" s="88">
        <f>INDEX('LÅSTA PARAMETRAR'!$1:$1048576,ROW(B1)+$B$11*3+78,COLUMN(B26))</f>
        <v>0</v>
      </c>
      <c r="R32" s="88">
        <f>INDEX('LÅSTA PARAMETRAR'!$1:$1048576,ROW(C1)+$B$11*3+78,COLUMN(C26))</f>
        <v>0</v>
      </c>
      <c r="S32" s="88">
        <f>INDEX('LÅSTA PARAMETRAR'!$1:$1048576,ROW(D1)+$B$11*3+78,COLUMN(D26))</f>
        <v>0</v>
      </c>
      <c r="T32" s="88">
        <f>INDEX('LÅSTA PARAMETRAR'!$1:$1048576,ROW(E1)+$B$11*3+78,COLUMN(E26))</f>
        <v>0</v>
      </c>
      <c r="U32" s="88">
        <f>INDEX('LÅSTA PARAMETRAR'!$1:$1048576,ROW(F1)+$B$11*3+78,COLUMN(F26))</f>
        <v>4000</v>
      </c>
      <c r="V32" s="88">
        <f>INDEX('LÅSTA PARAMETRAR'!$1:$1048576,ROW(G1)+$B$11*3+78,COLUMN(G26))</f>
        <v>5000</v>
      </c>
      <c r="W32" s="88">
        <f>INDEX('LÅSTA PARAMETRAR'!$1:$1048576,ROW(H1)+$B$11*3+78,COLUMN(H26))</f>
        <v>4000</v>
      </c>
      <c r="X32" s="88">
        <f>INDEX('LÅSTA PARAMETRAR'!$1:$1048576,ROW(I1)+$B$11*3+78,COLUMN(I26))</f>
        <v>3500</v>
      </c>
      <c r="Y32" s="88">
        <f>INDEX('LÅSTA PARAMETRAR'!$1:$1048576,ROW(J1)+$B$11*3+78,COLUMN(J26))</f>
        <v>3000</v>
      </c>
      <c r="Z32" s="88">
        <f>INDEX('LÅSTA PARAMETRAR'!$1:$1048576,ROW(K1)+$B$11*3+78,COLUMN(K26))</f>
        <v>2600</v>
      </c>
      <c r="AA32" s="88">
        <f>INDEX('LÅSTA PARAMETRAR'!$1:$1048576,ROW(L1)+$B$11*3+78,COLUMN(L26))</f>
        <v>0</v>
      </c>
      <c r="AB32" s="88">
        <f>INDEX('LÅSTA PARAMETRAR'!$1:$1048576,ROW(M1)+$B$11*3+78,COLUMN(M26))</f>
        <v>0</v>
      </c>
      <c r="AC32" s="88">
        <f>SUM(Q32:AB32)</f>
        <v>22100</v>
      </c>
      <c r="AD32" s="102"/>
      <c r="AE32" s="88" t="s">
        <v>243</v>
      </c>
      <c r="AF32" s="88">
        <f>INDEX('LÅSTA PARAMETRAR'!$1:$1048576,ROW(Q1)+$B$11*3+78,COLUMN(Q26))</f>
        <v>0</v>
      </c>
      <c r="AG32" s="88">
        <f>INDEX('LÅSTA PARAMETRAR'!$1:$1048576,ROW(R1)+$B$11*3+78,COLUMN(R26))</f>
        <v>0</v>
      </c>
      <c r="AH32" s="88">
        <f>INDEX('LÅSTA PARAMETRAR'!$1:$1048576,ROW(S1)+$B$11*3+78,COLUMN(S26))</f>
        <v>0</v>
      </c>
      <c r="AI32" s="88">
        <f>INDEX('LÅSTA PARAMETRAR'!$1:$1048576,ROW(T1)+$B$11*3+78,COLUMN(T26))</f>
        <v>0</v>
      </c>
      <c r="AJ32" s="88">
        <f>INDEX('LÅSTA PARAMETRAR'!$1:$1048576,ROW(U1)+$B$11*3+78,COLUMN(U26))</f>
        <v>5000</v>
      </c>
      <c r="AK32" s="88">
        <f>INDEX('LÅSTA PARAMETRAR'!$1:$1048576,ROW(V1)+$B$11*3+78,COLUMN(V26))</f>
        <v>6500</v>
      </c>
      <c r="AL32" s="88">
        <f>INDEX('LÅSTA PARAMETRAR'!$1:$1048576,ROW(W1)+$B$11*3+78,COLUMN(W26))</f>
        <v>5300</v>
      </c>
      <c r="AM32" s="88">
        <f>INDEX('LÅSTA PARAMETRAR'!$1:$1048576,ROW(X1)+$B$11*3+78,COLUMN(X26))</f>
        <v>4600</v>
      </c>
      <c r="AN32" s="88">
        <f>INDEX('LÅSTA PARAMETRAR'!$1:$1048576,ROW(Y1)+$B$11*3+78,COLUMN(Y26))</f>
        <v>3800</v>
      </c>
      <c r="AO32" s="88">
        <f>INDEX('LÅSTA PARAMETRAR'!$1:$1048576,ROW(Z1)+$B$11*3+78,COLUMN(Z26))</f>
        <v>3300</v>
      </c>
      <c r="AP32" s="88">
        <f>INDEX('LÅSTA PARAMETRAR'!$1:$1048576,ROW(AA1)+$B$11*3+78,COLUMN(AA26))</f>
        <v>0</v>
      </c>
      <c r="AQ32" s="88">
        <f>INDEX('LÅSTA PARAMETRAR'!$1:$1048576,ROW(AB1)+$B$11*3+78,COLUMN(AB26))</f>
        <v>0</v>
      </c>
      <c r="AR32" s="88">
        <f>SUM(AF32:AQ32)</f>
        <v>28500</v>
      </c>
      <c r="AT32" s="54" t="s">
        <v>242</v>
      </c>
      <c r="AU32" s="88">
        <f t="shared" ref="AU32:AU33" si="39">AF32-Q32</f>
        <v>0</v>
      </c>
      <c r="AV32" s="88">
        <f t="shared" ref="AV32:AV33" si="40">AG32-R32</f>
        <v>0</v>
      </c>
      <c r="AW32" s="88">
        <f t="shared" ref="AW32:AW33" si="41">AH32-S32</f>
        <v>0</v>
      </c>
      <c r="AX32" s="88">
        <f t="shared" ref="AX32:AX33" si="42">AI32-T32</f>
        <v>0</v>
      </c>
      <c r="AY32" s="88">
        <f t="shared" ref="AY32:AY33" si="43">AJ32-U32</f>
        <v>1000</v>
      </c>
      <c r="AZ32" s="88">
        <f t="shared" ref="AZ32:AZ33" si="44">AK32-V32</f>
        <v>1500</v>
      </c>
      <c r="BA32" s="88">
        <f t="shared" ref="BA32:BA33" si="45">AL32-W32</f>
        <v>1300</v>
      </c>
      <c r="BB32" s="88">
        <f t="shared" ref="BB32:BB33" si="46">AM32-X32</f>
        <v>1100</v>
      </c>
      <c r="BC32" s="88">
        <f t="shared" ref="BC32:BC33" si="47">AN32-Y32</f>
        <v>800</v>
      </c>
      <c r="BD32" s="88">
        <f t="shared" ref="BD32:BD33" si="48">AO32-Z32</f>
        <v>700</v>
      </c>
      <c r="BE32" s="88">
        <f t="shared" ref="BE32:BE33" si="49">AP32-AA32</f>
        <v>0</v>
      </c>
      <c r="BF32" s="88">
        <f t="shared" ref="BF32:BF33" si="50">AQ32-AB32</f>
        <v>0</v>
      </c>
      <c r="BG32" s="88">
        <f t="shared" ref="BG32:BG33" si="51">AR32-AC32</f>
        <v>6400</v>
      </c>
    </row>
    <row r="33" spans="1:59" s="250" customFormat="1" x14ac:dyDescent="0.2">
      <c r="A33" s="56" t="s">
        <v>240</v>
      </c>
      <c r="B33" s="257">
        <f t="shared" ref="B33" si="52">Q33+AU33*$C$12</f>
        <v>0</v>
      </c>
      <c r="C33" s="254">
        <f t="shared" si="28"/>
        <v>0</v>
      </c>
      <c r="D33" s="254">
        <f t="shared" si="29"/>
        <v>0</v>
      </c>
      <c r="E33" s="254">
        <f t="shared" ref="E33" si="53">T33+AX33*$C$12</f>
        <v>2294.6033272419386</v>
      </c>
      <c r="F33" s="254">
        <f t="shared" si="30"/>
        <v>3343.7038817822618</v>
      </c>
      <c r="G33" s="254">
        <f t="shared" si="31"/>
        <v>3343.7038817822618</v>
      </c>
      <c r="H33" s="254">
        <f t="shared" si="32"/>
        <v>3043.7038817822618</v>
      </c>
      <c r="I33" s="254">
        <f t="shared" si="33"/>
        <v>2445.5027727016154</v>
      </c>
      <c r="J33" s="254">
        <f t="shared" si="34"/>
        <v>1845.5027727016154</v>
      </c>
      <c r="K33" s="254">
        <f t="shared" si="35"/>
        <v>0</v>
      </c>
      <c r="L33" s="254">
        <f t="shared" si="36"/>
        <v>0</v>
      </c>
      <c r="M33" s="254">
        <f t="shared" si="37"/>
        <v>0</v>
      </c>
      <c r="N33" s="254">
        <f t="shared" si="38"/>
        <v>16316.720517991955</v>
      </c>
      <c r="P33" s="88" t="s">
        <v>123</v>
      </c>
      <c r="Q33" s="88">
        <f>INDEX('LÅSTA PARAMETRAR'!$1:$1048576,ROW(B2)+$B$11*3+78,COLUMN(B27))</f>
        <v>0</v>
      </c>
      <c r="R33" s="88">
        <f>INDEX('LÅSTA PARAMETRAR'!$1:$1048576,ROW(C2)+$B$11*3+78,COLUMN(C27))</f>
        <v>0</v>
      </c>
      <c r="S33" s="88">
        <f>INDEX('LÅSTA PARAMETRAR'!$1:$1048576,ROW(D2)+$B$11*3+78,COLUMN(D27))</f>
        <v>0</v>
      </c>
      <c r="T33" s="88">
        <f>INDEX('LÅSTA PARAMETRAR'!$1:$1048576,ROW(E2)+$B$11*3+78,COLUMN(E27))</f>
        <v>2000</v>
      </c>
      <c r="U33" s="88">
        <f>INDEX('LÅSTA PARAMETRAR'!$1:$1048576,ROW(F2)+$B$11*3+78,COLUMN(F27))</f>
        <v>3000</v>
      </c>
      <c r="V33" s="88">
        <f>INDEX('LÅSTA PARAMETRAR'!$1:$1048576,ROW(G2)+$B$11*3+78,COLUMN(G27))</f>
        <v>3000</v>
      </c>
      <c r="W33" s="88">
        <f>INDEX('LÅSTA PARAMETRAR'!$1:$1048576,ROW(H2)+$B$11*3+78,COLUMN(H27))</f>
        <v>2700</v>
      </c>
      <c r="X33" s="88">
        <f>INDEX('LÅSTA PARAMETRAR'!$1:$1048576,ROW(I2)+$B$11*3+78,COLUMN(I27))</f>
        <v>2200</v>
      </c>
      <c r="Y33" s="88">
        <f>INDEX('LÅSTA PARAMETRAR'!$1:$1048576,ROW(J2)+$B$11*3+78,COLUMN(J27))</f>
        <v>1600</v>
      </c>
      <c r="Z33" s="88">
        <f>INDEX('LÅSTA PARAMETRAR'!$1:$1048576,ROW(K2)+$B$11*3+78,COLUMN(K27))</f>
        <v>0</v>
      </c>
      <c r="AA33" s="88">
        <f>INDEX('LÅSTA PARAMETRAR'!$1:$1048576,ROW(L2)+$B$11*3+78,COLUMN(L27))</f>
        <v>0</v>
      </c>
      <c r="AB33" s="88">
        <f>INDEX('LÅSTA PARAMETRAR'!$1:$1048576,ROW(M2)+$B$11*3+78,COLUMN(M27))</f>
        <v>0</v>
      </c>
      <c r="AC33" s="88">
        <f>SUM(Q33:AB33)</f>
        <v>14500</v>
      </c>
      <c r="AD33" s="102"/>
      <c r="AE33" s="88" t="s">
        <v>123</v>
      </c>
      <c r="AF33" s="88">
        <f>INDEX('LÅSTA PARAMETRAR'!$1:$1048576,ROW(Q2)+$B$11*3+78,COLUMN(Q27))</f>
        <v>0</v>
      </c>
      <c r="AG33" s="88">
        <f>INDEX('LÅSTA PARAMETRAR'!$1:$1048576,ROW(R2)+$B$11*3+78,COLUMN(R27))</f>
        <v>0</v>
      </c>
      <c r="AH33" s="88">
        <f>INDEX('LÅSTA PARAMETRAR'!$1:$1048576,ROW(S2)+$B$11*3+78,COLUMN(S27))</f>
        <v>0</v>
      </c>
      <c r="AI33" s="88">
        <f>INDEX('LÅSTA PARAMETRAR'!$1:$1048576,ROW(T2)+$B$11*3+78,COLUMN(T27))</f>
        <v>2600</v>
      </c>
      <c r="AJ33" s="88">
        <f>INDEX('LÅSTA PARAMETRAR'!$1:$1048576,ROW(U2)+$B$11*3+78,COLUMN(U27))</f>
        <v>3700</v>
      </c>
      <c r="AK33" s="88">
        <f>INDEX('LÅSTA PARAMETRAR'!$1:$1048576,ROW(V2)+$B$11*3+78,COLUMN(V27))</f>
        <v>3700</v>
      </c>
      <c r="AL33" s="88">
        <f>INDEX('LÅSTA PARAMETRAR'!$1:$1048576,ROW(W2)+$B$11*3+78,COLUMN(W27))</f>
        <v>3400</v>
      </c>
      <c r="AM33" s="88">
        <f>INDEX('LÅSTA PARAMETRAR'!$1:$1048576,ROW(X2)+$B$11*3+78,COLUMN(X27))</f>
        <v>2700</v>
      </c>
      <c r="AN33" s="88">
        <f>INDEX('LÅSTA PARAMETRAR'!$1:$1048576,ROW(Y2)+$B$11*3+78,COLUMN(Y27))</f>
        <v>2100</v>
      </c>
      <c r="AO33" s="88">
        <f>INDEX('LÅSTA PARAMETRAR'!$1:$1048576,ROW(Z2)+$B$11*3+78,COLUMN(Z27))</f>
        <v>0</v>
      </c>
      <c r="AP33" s="88">
        <f>INDEX('LÅSTA PARAMETRAR'!$1:$1048576,ROW(AA2)+$B$11*3+78,COLUMN(AA27))</f>
        <v>0</v>
      </c>
      <c r="AQ33" s="88">
        <f>INDEX('LÅSTA PARAMETRAR'!$1:$1048576,ROW(AB2)+$B$11*3+78,COLUMN(AB27))</f>
        <v>0</v>
      </c>
      <c r="AR33" s="88">
        <f>SUM(AF33:AQ33)</f>
        <v>18200</v>
      </c>
      <c r="AT33" s="57" t="s">
        <v>123</v>
      </c>
      <c r="AU33" s="88">
        <f t="shared" si="39"/>
        <v>0</v>
      </c>
      <c r="AV33" s="88">
        <f t="shared" si="40"/>
        <v>0</v>
      </c>
      <c r="AW33" s="88">
        <f t="shared" si="41"/>
        <v>0</v>
      </c>
      <c r="AX33" s="88">
        <f t="shared" si="42"/>
        <v>600</v>
      </c>
      <c r="AY33" s="88">
        <f t="shared" si="43"/>
        <v>700</v>
      </c>
      <c r="AZ33" s="88">
        <f t="shared" si="44"/>
        <v>700</v>
      </c>
      <c r="BA33" s="88">
        <f t="shared" si="45"/>
        <v>700</v>
      </c>
      <c r="BB33" s="88">
        <f t="shared" si="46"/>
        <v>500</v>
      </c>
      <c r="BC33" s="88">
        <f t="shared" si="47"/>
        <v>500</v>
      </c>
      <c r="BD33" s="88">
        <f t="shared" si="48"/>
        <v>0</v>
      </c>
      <c r="BE33" s="88">
        <f t="shared" si="49"/>
        <v>0</v>
      </c>
      <c r="BF33" s="88">
        <f t="shared" si="50"/>
        <v>0</v>
      </c>
      <c r="BG33" s="88">
        <f t="shared" si="51"/>
        <v>3700</v>
      </c>
    </row>
    <row r="34" spans="1:59" s="250" customFormat="1" x14ac:dyDescent="0.2"/>
    <row r="37" spans="1:59" x14ac:dyDescent="0.2">
      <c r="A37" s="19" t="s">
        <v>131</v>
      </c>
      <c r="B37" s="268" t="s">
        <v>20</v>
      </c>
      <c r="C37" s="17" t="s">
        <v>21</v>
      </c>
      <c r="D37" s="17" t="s">
        <v>22</v>
      </c>
      <c r="E37" s="17" t="s">
        <v>23</v>
      </c>
      <c r="F37" s="17" t="s">
        <v>24</v>
      </c>
      <c r="G37" s="17" t="s">
        <v>25</v>
      </c>
      <c r="H37" s="17" t="s">
        <v>26</v>
      </c>
      <c r="I37" s="17" t="s">
        <v>27</v>
      </c>
      <c r="J37" s="17" t="s">
        <v>28</v>
      </c>
      <c r="K37" s="17" t="s">
        <v>29</v>
      </c>
      <c r="L37" s="17" t="s">
        <v>30</v>
      </c>
      <c r="M37" s="17" t="s">
        <v>31</v>
      </c>
      <c r="N37" s="23" t="s">
        <v>53</v>
      </c>
      <c r="Q37" s="17" t="s">
        <v>20</v>
      </c>
      <c r="R37" s="17" t="s">
        <v>21</v>
      </c>
      <c r="S37" s="17" t="s">
        <v>22</v>
      </c>
      <c r="T37" s="17" t="s">
        <v>23</v>
      </c>
      <c r="U37" s="17" t="s">
        <v>24</v>
      </c>
      <c r="V37" s="17" t="s">
        <v>25</v>
      </c>
      <c r="W37" s="17" t="s">
        <v>26</v>
      </c>
      <c r="X37" s="17" t="s">
        <v>27</v>
      </c>
      <c r="Y37" s="17" t="s">
        <v>28</v>
      </c>
      <c r="Z37" s="17" t="s">
        <v>29</v>
      </c>
      <c r="AA37" s="17" t="s">
        <v>30</v>
      </c>
      <c r="AB37" s="17" t="s">
        <v>31</v>
      </c>
      <c r="AF37" s="17" t="s">
        <v>20</v>
      </c>
      <c r="AG37" s="17" t="s">
        <v>21</v>
      </c>
      <c r="AH37" s="17" t="s">
        <v>22</v>
      </c>
      <c r="AI37" s="17" t="s">
        <v>23</v>
      </c>
      <c r="AJ37" s="17" t="s">
        <v>24</v>
      </c>
      <c r="AK37" s="17" t="s">
        <v>25</v>
      </c>
      <c r="AL37" s="17" t="s">
        <v>26</v>
      </c>
      <c r="AM37" s="17" t="s">
        <v>27</v>
      </c>
      <c r="AN37" s="17" t="s">
        <v>28</v>
      </c>
      <c r="AO37" s="17" t="s">
        <v>29</v>
      </c>
      <c r="AP37" s="17" t="s">
        <v>30</v>
      </c>
      <c r="AQ37" s="17" t="s">
        <v>31</v>
      </c>
      <c r="AU37" s="17" t="s">
        <v>20</v>
      </c>
      <c r="AV37" s="17" t="s">
        <v>21</v>
      </c>
      <c r="AW37" s="17" t="s">
        <v>22</v>
      </c>
      <c r="AX37" s="17" t="s">
        <v>23</v>
      </c>
      <c r="AY37" s="17" t="s">
        <v>24</v>
      </c>
      <c r="AZ37" s="17" t="s">
        <v>25</v>
      </c>
      <c r="BA37" s="17" t="s">
        <v>26</v>
      </c>
      <c r="BB37" s="17" t="s">
        <v>27</v>
      </c>
      <c r="BC37" s="17" t="s">
        <v>28</v>
      </c>
      <c r="BD37" s="17" t="s">
        <v>29</v>
      </c>
      <c r="BE37" s="17" t="s">
        <v>30</v>
      </c>
      <c r="BF37" s="17" t="s">
        <v>31</v>
      </c>
      <c r="BG37" s="23" t="s">
        <v>53</v>
      </c>
    </row>
    <row r="38" spans="1:59" x14ac:dyDescent="0.2">
      <c r="A38" s="20" t="s">
        <v>112</v>
      </c>
      <c r="B38" s="257">
        <f t="shared" ref="B38:I39" si="54">Q38+AU38*$C$12</f>
        <v>0</v>
      </c>
      <c r="C38" s="254">
        <f t="shared" si="54"/>
        <v>0</v>
      </c>
      <c r="D38" s="254">
        <f t="shared" si="54"/>
        <v>0</v>
      </c>
      <c r="E38" s="254">
        <f t="shared" si="54"/>
        <v>0</v>
      </c>
      <c r="F38" s="254">
        <f t="shared" si="54"/>
        <v>2889.2066544838772</v>
      </c>
      <c r="G38" s="254">
        <f t="shared" si="54"/>
        <v>2491.0055454032308</v>
      </c>
      <c r="H38" s="254">
        <f t="shared" si="54"/>
        <v>2491.0055454032308</v>
      </c>
      <c r="I38" s="254">
        <f t="shared" si="54"/>
        <v>1992.8044363225849</v>
      </c>
      <c r="J38" s="254">
        <f t="shared" ref="J38:J39" si="55">Y38+BC38*$C$12</f>
        <v>1992.8044363225849</v>
      </c>
      <c r="K38" s="254">
        <f t="shared" ref="K38:K39" si="56">Z38+BD38*$C$12</f>
        <v>0</v>
      </c>
      <c r="L38" s="254">
        <f t="shared" ref="L38:L39" si="57">AA38+BE38*$C$12</f>
        <v>0</v>
      </c>
      <c r="M38" s="254">
        <f t="shared" ref="M38:M39" si="58">AB38+BF38*$C$12</f>
        <v>0</v>
      </c>
      <c r="N38" s="254">
        <f t="shared" ref="N38:N39" si="59">AC38+BG38*$C$12</f>
        <v>0</v>
      </c>
      <c r="P38" t="s">
        <v>112</v>
      </c>
      <c r="Q38">
        <f>IF($B$11=1,'LÅSTA PARAMETRAR'!B69,IF($B$11=2,'LÅSTA PARAMETRAR'!B73,'LÅSTA PARAMETRAR'!B77))</f>
        <v>0</v>
      </c>
      <c r="R38">
        <f>IF($B$11=1,'LÅSTA PARAMETRAR'!C69,IF($B$11=2,'LÅSTA PARAMETRAR'!C73,'LÅSTA PARAMETRAR'!C77))</f>
        <v>0</v>
      </c>
      <c r="S38">
        <f>IF($B$11=1,'LÅSTA PARAMETRAR'!D69,IF($B$11=2,'LÅSTA PARAMETRAR'!D73,'LÅSTA PARAMETRAR'!D77))</f>
        <v>0</v>
      </c>
      <c r="T38">
        <f>IF($B$11=1,'LÅSTA PARAMETRAR'!E69,IF($B$11=2,'LÅSTA PARAMETRAR'!E73,'LÅSTA PARAMETRAR'!E77))</f>
        <v>0</v>
      </c>
      <c r="U38">
        <f>IF($B$11=1,'LÅSTA PARAMETRAR'!F69,IF($B$11=2,'LÅSTA PARAMETRAR'!F73,'LÅSTA PARAMETRAR'!F77))</f>
        <v>2300</v>
      </c>
      <c r="V38">
        <f>IF($B$11=1,'LÅSTA PARAMETRAR'!G69,IF($B$11=2,'LÅSTA PARAMETRAR'!G73,'LÅSTA PARAMETRAR'!G77))</f>
        <v>2000</v>
      </c>
      <c r="W38">
        <f>IF($B$11=1,'LÅSTA PARAMETRAR'!H69,IF($B$11=2,'LÅSTA PARAMETRAR'!H73,'LÅSTA PARAMETRAR'!H77))</f>
        <v>2000</v>
      </c>
      <c r="X38">
        <f>IF($B$11=1,'LÅSTA PARAMETRAR'!I69,IF($B$11=2,'LÅSTA PARAMETRAR'!I73,'LÅSTA PARAMETRAR'!I77))</f>
        <v>1600</v>
      </c>
      <c r="Y38">
        <f>IF($B$11=1,'LÅSTA PARAMETRAR'!J69,IF($B$11=2,'LÅSTA PARAMETRAR'!J73,'LÅSTA PARAMETRAR'!J77))</f>
        <v>1600</v>
      </c>
      <c r="Z38">
        <f>IF($B$11=1,'LÅSTA PARAMETRAR'!K69,IF($B$11=2,'LÅSTA PARAMETRAR'!K73,'LÅSTA PARAMETRAR'!K77))</f>
        <v>0</v>
      </c>
      <c r="AA38">
        <f>IF($B$11=1,'LÅSTA PARAMETRAR'!L69,IF($B$11=2,'LÅSTA PARAMETRAR'!L73,'LÅSTA PARAMETRAR'!L77))</f>
        <v>0</v>
      </c>
      <c r="AB38">
        <f>IF($B$11=1,'LÅSTA PARAMETRAR'!M69,IF($B$11=2,'LÅSTA PARAMETRAR'!M73,'LÅSTA PARAMETRAR'!M77))</f>
        <v>0</v>
      </c>
      <c r="AE38" t="str">
        <f>A38</f>
        <v>Lageralternativ</v>
      </c>
      <c r="AF38">
        <f>IF($B$11=1,'LÅSTA PARAMETRAR'!Q69,IF($B$11=2,'LÅSTA PARAMETRAR'!Q73,'LÅSTA PARAMETRAR'!Q77))</f>
        <v>0</v>
      </c>
      <c r="AG38">
        <f>IF($B$11=1,'LÅSTA PARAMETRAR'!R69,IF($B$11=2,'LÅSTA PARAMETRAR'!R73,'LÅSTA PARAMETRAR'!R77))</f>
        <v>0</v>
      </c>
      <c r="AH38">
        <f>IF($B$11=1,'LÅSTA PARAMETRAR'!S69,IF($B$11=2,'LÅSTA PARAMETRAR'!S73,'LÅSTA PARAMETRAR'!S77))</f>
        <v>0</v>
      </c>
      <c r="AI38">
        <f>IF($B$11=1,'LÅSTA PARAMETRAR'!T69,IF($B$11=2,'LÅSTA PARAMETRAR'!T73,'LÅSTA PARAMETRAR'!T77))</f>
        <v>0</v>
      </c>
      <c r="AJ38">
        <f>IF($B$11=1,'LÅSTA PARAMETRAR'!U69,IF($B$11=2,'LÅSTA PARAMETRAR'!U73,'LÅSTA PARAMETRAR'!U77))</f>
        <v>3500</v>
      </c>
      <c r="AK38">
        <f>IF($B$11=1,'LÅSTA PARAMETRAR'!V69,IF($B$11=2,'LÅSTA PARAMETRAR'!V73,'LÅSTA PARAMETRAR'!V77))</f>
        <v>3000</v>
      </c>
      <c r="AL38">
        <f>IF($B$11=1,'LÅSTA PARAMETRAR'!W69,IF($B$11=2,'LÅSTA PARAMETRAR'!W73,'LÅSTA PARAMETRAR'!W77))</f>
        <v>3000</v>
      </c>
      <c r="AM38">
        <f>IF($B$11=1,'LÅSTA PARAMETRAR'!X69,IF($B$11=2,'LÅSTA PARAMETRAR'!X73,'LÅSTA PARAMETRAR'!X77))</f>
        <v>2400</v>
      </c>
      <c r="AN38">
        <f>IF($B$11=1,'LÅSTA PARAMETRAR'!Y69,IF($B$11=2,'LÅSTA PARAMETRAR'!Y73,'LÅSTA PARAMETRAR'!Y77))</f>
        <v>2400</v>
      </c>
      <c r="AO38">
        <f>IF($B$11=1,'LÅSTA PARAMETRAR'!Z69,IF($B$11=2,'LÅSTA PARAMETRAR'!Z73,'LÅSTA PARAMETRAR'!Z77))</f>
        <v>0</v>
      </c>
      <c r="AP38">
        <f>IF($B$11=1,'LÅSTA PARAMETRAR'!AA69,IF($B$11=2,'LÅSTA PARAMETRAR'!AA73,'LÅSTA PARAMETRAR'!AA77))</f>
        <v>0</v>
      </c>
      <c r="AQ38">
        <f>IF($B$11=1,'LÅSTA PARAMETRAR'!AB69,IF($B$11=2,'LÅSTA PARAMETRAR'!AB73,'LÅSTA PARAMETRAR'!AB77))</f>
        <v>0</v>
      </c>
      <c r="AU38" s="88">
        <f t="shared" ref="AU38:BB40" si="60">AF38-Q38</f>
        <v>0</v>
      </c>
      <c r="AV38" s="88">
        <f t="shared" si="60"/>
        <v>0</v>
      </c>
      <c r="AW38" s="88">
        <f t="shared" si="60"/>
        <v>0</v>
      </c>
      <c r="AX38" s="88">
        <f t="shared" si="60"/>
        <v>0</v>
      </c>
      <c r="AY38" s="88">
        <f t="shared" si="60"/>
        <v>1200</v>
      </c>
      <c r="AZ38" s="88">
        <f t="shared" si="60"/>
        <v>1000</v>
      </c>
      <c r="BA38" s="88">
        <f t="shared" si="60"/>
        <v>1000</v>
      </c>
      <c r="BB38" s="88">
        <f t="shared" si="60"/>
        <v>800</v>
      </c>
      <c r="BC38" s="88">
        <f t="shared" ref="BC38:BC40" si="61">AN38-Y38</f>
        <v>800</v>
      </c>
      <c r="BD38" s="88">
        <f t="shared" ref="BD38:BD40" si="62">AO38-Z38</f>
        <v>0</v>
      </c>
      <c r="BE38" s="88">
        <f t="shared" ref="BE38:BE40" si="63">AP38-AA38</f>
        <v>0</v>
      </c>
      <c r="BF38" s="88">
        <f t="shared" ref="BF38:BF40" si="64">AQ38-AB38</f>
        <v>0</v>
      </c>
      <c r="BG38" s="88">
        <f t="shared" ref="BG38:BG40" si="65">AR38-AC38</f>
        <v>0</v>
      </c>
    </row>
    <row r="39" spans="1:59" x14ac:dyDescent="0.2">
      <c r="A39" s="21" t="s">
        <v>93</v>
      </c>
      <c r="B39" s="257">
        <f t="shared" si="54"/>
        <v>1868.2541590524233</v>
      </c>
      <c r="C39" s="254">
        <f t="shared" si="54"/>
        <v>1556.8784658770194</v>
      </c>
      <c r="D39" s="254">
        <f t="shared" si="54"/>
        <v>934.12707952621167</v>
      </c>
      <c r="E39" s="254">
        <f t="shared" si="54"/>
        <v>622.75138635080771</v>
      </c>
      <c r="F39" s="254">
        <f t="shared" si="54"/>
        <v>0</v>
      </c>
      <c r="G39" s="254">
        <f t="shared" si="54"/>
        <v>0</v>
      </c>
      <c r="H39" s="254">
        <f t="shared" si="54"/>
        <v>0</v>
      </c>
      <c r="I39" s="254">
        <f t="shared" si="54"/>
        <v>0</v>
      </c>
      <c r="J39" s="254">
        <f t="shared" si="55"/>
        <v>0</v>
      </c>
      <c r="K39" s="254">
        <f t="shared" si="56"/>
        <v>934.12707952621167</v>
      </c>
      <c r="L39" s="254">
        <f t="shared" si="57"/>
        <v>1245.5027727016154</v>
      </c>
      <c r="M39" s="254">
        <f t="shared" si="58"/>
        <v>1868.2541590524233</v>
      </c>
      <c r="N39" s="254">
        <f t="shared" si="59"/>
        <v>0</v>
      </c>
      <c r="P39" t="s">
        <v>93</v>
      </c>
      <c r="Q39">
        <f>IF($B$11=1,'LÅSTA PARAMETRAR'!B70,IF($B$11=2,'LÅSTA PARAMETRAR'!B74,'LÅSTA PARAMETRAR'!B78))</f>
        <v>1500</v>
      </c>
      <c r="R39">
        <f>IF($B$11=1,'LÅSTA PARAMETRAR'!C70,IF($B$11=2,'LÅSTA PARAMETRAR'!C74,'LÅSTA PARAMETRAR'!C78))</f>
        <v>1250</v>
      </c>
      <c r="S39">
        <f>IF($B$11=1,'LÅSTA PARAMETRAR'!D70,IF($B$11=2,'LÅSTA PARAMETRAR'!D74,'LÅSTA PARAMETRAR'!D78))</f>
        <v>750</v>
      </c>
      <c r="T39">
        <f>IF($B$11=1,'LÅSTA PARAMETRAR'!E70,IF($B$11=2,'LÅSTA PARAMETRAR'!E74,'LÅSTA PARAMETRAR'!E78))</f>
        <v>500</v>
      </c>
      <c r="U39">
        <f>IF($B$11=1,'LÅSTA PARAMETRAR'!F70,IF($B$11=2,'LÅSTA PARAMETRAR'!F74,'LÅSTA PARAMETRAR'!F78))</f>
        <v>0</v>
      </c>
      <c r="V39">
        <f>IF($B$11=1,'LÅSTA PARAMETRAR'!G70,IF($B$11=2,'LÅSTA PARAMETRAR'!G74,'LÅSTA PARAMETRAR'!G78))</f>
        <v>0</v>
      </c>
      <c r="W39">
        <f>IF($B$11=1,'LÅSTA PARAMETRAR'!H70,IF($B$11=2,'LÅSTA PARAMETRAR'!H74,'LÅSTA PARAMETRAR'!H78))</f>
        <v>0</v>
      </c>
      <c r="X39">
        <f>IF($B$11=1,'LÅSTA PARAMETRAR'!I70,IF($B$11=2,'LÅSTA PARAMETRAR'!I74,'LÅSTA PARAMETRAR'!I78))</f>
        <v>0</v>
      </c>
      <c r="Y39">
        <f>IF($B$11=1,'LÅSTA PARAMETRAR'!J70,IF($B$11=2,'LÅSTA PARAMETRAR'!J74,'LÅSTA PARAMETRAR'!J78))</f>
        <v>0</v>
      </c>
      <c r="Z39">
        <f>IF($B$11=1,'LÅSTA PARAMETRAR'!K70,IF($B$11=2,'LÅSTA PARAMETRAR'!K74,'LÅSTA PARAMETRAR'!K78))</f>
        <v>750</v>
      </c>
      <c r="AA39">
        <f>IF($B$11=1,'LÅSTA PARAMETRAR'!L70,IF($B$11=2,'LÅSTA PARAMETRAR'!L74,'LÅSTA PARAMETRAR'!L78))</f>
        <v>1000</v>
      </c>
      <c r="AB39">
        <f>IF($B$11=1,'LÅSTA PARAMETRAR'!M70,IF($B$11=2,'LÅSTA PARAMETRAR'!M74,'LÅSTA PARAMETRAR'!M78))</f>
        <v>1500</v>
      </c>
      <c r="AE39" t="str">
        <f>A39</f>
        <v>Nollalternativ</v>
      </c>
      <c r="AF39">
        <f>IF($B$11=1,'LÅSTA PARAMETRAR'!Q70,IF($B$11=2,'LÅSTA PARAMETRAR'!Q74,'LÅSTA PARAMETRAR'!Q78))</f>
        <v>2250</v>
      </c>
      <c r="AG39">
        <f>IF($B$11=1,'LÅSTA PARAMETRAR'!R70,IF($B$11=2,'LÅSTA PARAMETRAR'!R74,'LÅSTA PARAMETRAR'!R78))</f>
        <v>1875</v>
      </c>
      <c r="AH39">
        <f>IF($B$11=1,'LÅSTA PARAMETRAR'!S70,IF($B$11=2,'LÅSTA PARAMETRAR'!S74,'LÅSTA PARAMETRAR'!S78))</f>
        <v>1125</v>
      </c>
      <c r="AI39">
        <f>IF($B$11=1,'LÅSTA PARAMETRAR'!T70,IF($B$11=2,'LÅSTA PARAMETRAR'!T74,'LÅSTA PARAMETRAR'!T78))</f>
        <v>750</v>
      </c>
      <c r="AJ39">
        <f>IF($B$11=1,'LÅSTA PARAMETRAR'!U70,IF($B$11=2,'LÅSTA PARAMETRAR'!U74,'LÅSTA PARAMETRAR'!U78))</f>
        <v>0</v>
      </c>
      <c r="AK39">
        <f>IF($B$11=1,'LÅSTA PARAMETRAR'!V70,IF($B$11=2,'LÅSTA PARAMETRAR'!V74,'LÅSTA PARAMETRAR'!V78))</f>
        <v>0</v>
      </c>
      <c r="AL39">
        <f>IF($B$11=1,'LÅSTA PARAMETRAR'!W70,IF($B$11=2,'LÅSTA PARAMETRAR'!W74,'LÅSTA PARAMETRAR'!W78))</f>
        <v>0</v>
      </c>
      <c r="AM39">
        <f>IF($B$11=1,'LÅSTA PARAMETRAR'!X70,IF($B$11=2,'LÅSTA PARAMETRAR'!X74,'LÅSTA PARAMETRAR'!X78))</f>
        <v>0</v>
      </c>
      <c r="AN39">
        <f>IF($B$11=1,'LÅSTA PARAMETRAR'!Y70,IF($B$11=2,'LÅSTA PARAMETRAR'!Y74,'LÅSTA PARAMETRAR'!Y78))</f>
        <v>0</v>
      </c>
      <c r="AO39">
        <f>IF($B$11=1,'LÅSTA PARAMETRAR'!Z70,IF($B$11=2,'LÅSTA PARAMETRAR'!Z74,'LÅSTA PARAMETRAR'!Z78))</f>
        <v>1125</v>
      </c>
      <c r="AP39">
        <f>IF($B$11=1,'LÅSTA PARAMETRAR'!AA70,IF($B$11=2,'LÅSTA PARAMETRAR'!AA74,'LÅSTA PARAMETRAR'!AA78))</f>
        <v>1500</v>
      </c>
      <c r="AQ39">
        <f>IF($B$11=1,'LÅSTA PARAMETRAR'!AB70,IF($B$11=2,'LÅSTA PARAMETRAR'!AB74,'LÅSTA PARAMETRAR'!AB78))</f>
        <v>2250</v>
      </c>
      <c r="AU39" s="88">
        <f t="shared" si="60"/>
        <v>750</v>
      </c>
      <c r="AV39" s="88">
        <f t="shared" si="60"/>
        <v>625</v>
      </c>
      <c r="AW39" s="88">
        <f t="shared" si="60"/>
        <v>375</v>
      </c>
      <c r="AX39" s="88">
        <f t="shared" si="60"/>
        <v>250</v>
      </c>
      <c r="AY39" s="88">
        <f t="shared" si="60"/>
        <v>0</v>
      </c>
      <c r="AZ39" s="88">
        <f t="shared" si="60"/>
        <v>0</v>
      </c>
      <c r="BA39" s="88">
        <f t="shared" si="60"/>
        <v>0</v>
      </c>
      <c r="BB39" s="88">
        <f t="shared" si="60"/>
        <v>0</v>
      </c>
      <c r="BC39" s="88">
        <f t="shared" si="61"/>
        <v>0</v>
      </c>
      <c r="BD39" s="88">
        <f t="shared" si="62"/>
        <v>375</v>
      </c>
      <c r="BE39" s="88">
        <f t="shared" si="63"/>
        <v>500</v>
      </c>
      <c r="BF39" s="88">
        <f t="shared" si="64"/>
        <v>750</v>
      </c>
      <c r="BG39" s="88">
        <f t="shared" si="65"/>
        <v>0</v>
      </c>
    </row>
    <row r="40" spans="1:59" x14ac:dyDescent="0.2">
      <c r="A40" t="s">
        <v>138</v>
      </c>
      <c r="AU40" s="88">
        <f t="shared" si="60"/>
        <v>0</v>
      </c>
      <c r="AV40" s="88">
        <f t="shared" si="60"/>
        <v>0</v>
      </c>
      <c r="AW40" s="88">
        <f t="shared" si="60"/>
        <v>0</v>
      </c>
      <c r="AX40" s="88">
        <f t="shared" si="60"/>
        <v>0</v>
      </c>
      <c r="AY40" s="88">
        <f t="shared" si="60"/>
        <v>0</v>
      </c>
      <c r="AZ40" s="88">
        <f t="shared" si="60"/>
        <v>0</v>
      </c>
      <c r="BA40" s="88">
        <f t="shared" si="60"/>
        <v>0</v>
      </c>
      <c r="BB40" s="88">
        <f t="shared" si="60"/>
        <v>0</v>
      </c>
      <c r="BC40" s="88">
        <f t="shared" si="61"/>
        <v>0</v>
      </c>
      <c r="BD40" s="88">
        <f t="shared" si="62"/>
        <v>0</v>
      </c>
      <c r="BE40" s="88">
        <f t="shared" si="63"/>
        <v>0</v>
      </c>
      <c r="BF40" s="88">
        <f t="shared" si="64"/>
        <v>0</v>
      </c>
      <c r="BG40" s="88">
        <f t="shared" si="65"/>
        <v>0</v>
      </c>
    </row>
    <row r="41" spans="1:59" s="439" customFormat="1" x14ac:dyDescent="0.2">
      <c r="AU41" s="440"/>
      <c r="AV41" s="440"/>
      <c r="AW41" s="440"/>
      <c r="AX41" s="440"/>
      <c r="AY41" s="440"/>
      <c r="AZ41" s="440"/>
      <c r="BA41" s="440"/>
      <c r="BB41" s="440"/>
      <c r="BC41" s="440"/>
      <c r="BD41" s="440"/>
      <c r="BE41" s="440"/>
      <c r="BF41" s="440"/>
      <c r="BG41" s="440"/>
    </row>
    <row r="42" spans="1:59" s="296" customFormat="1" x14ac:dyDescent="0.2"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</row>
    <row r="43" spans="1:59" s="296" customFormat="1" x14ac:dyDescent="0.2">
      <c r="A43" s="81" t="s">
        <v>357</v>
      </c>
      <c r="B43" s="346"/>
      <c r="C43" s="346"/>
      <c r="D43" s="346"/>
      <c r="E43" s="346"/>
      <c r="F43" s="346"/>
      <c r="G43" s="346"/>
      <c r="H43" s="346"/>
      <c r="I43" s="346"/>
      <c r="J43" s="346"/>
      <c r="K43" s="346"/>
      <c r="L43" s="346"/>
      <c r="M43" s="347"/>
      <c r="O43" s="81" t="s">
        <v>358</v>
      </c>
      <c r="P43" s="346"/>
      <c r="Q43" s="346"/>
      <c r="R43" s="346"/>
      <c r="S43" s="346"/>
      <c r="T43" s="346"/>
      <c r="U43" s="346"/>
      <c r="V43" s="346"/>
      <c r="W43" s="346"/>
      <c r="X43" s="346"/>
      <c r="Y43" s="346"/>
      <c r="Z43" s="346"/>
      <c r="AA43" s="347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</row>
    <row r="44" spans="1:59" s="296" customFormat="1" x14ac:dyDescent="0.2">
      <c r="A44" s="53" t="s">
        <v>19</v>
      </c>
      <c r="B44" s="286" t="s">
        <v>20</v>
      </c>
      <c r="C44" s="286" t="s">
        <v>21</v>
      </c>
      <c r="D44" s="286" t="s">
        <v>22</v>
      </c>
      <c r="E44" s="286" t="s">
        <v>23</v>
      </c>
      <c r="F44" s="286" t="s">
        <v>24</v>
      </c>
      <c r="G44" s="286" t="s">
        <v>25</v>
      </c>
      <c r="H44" s="286" t="s">
        <v>26</v>
      </c>
      <c r="I44" s="286" t="s">
        <v>27</v>
      </c>
      <c r="J44" s="286" t="s">
        <v>28</v>
      </c>
      <c r="K44" s="286" t="s">
        <v>29</v>
      </c>
      <c r="L44" s="286" t="s">
        <v>30</v>
      </c>
      <c r="M44" s="286" t="s">
        <v>31</v>
      </c>
      <c r="O44" s="53" t="s">
        <v>19</v>
      </c>
      <c r="P44" s="286" t="s">
        <v>20</v>
      </c>
      <c r="Q44" s="286" t="s">
        <v>21</v>
      </c>
      <c r="R44" s="286" t="s">
        <v>22</v>
      </c>
      <c r="S44" s="286" t="s">
        <v>23</v>
      </c>
      <c r="T44" s="286" t="s">
        <v>24</v>
      </c>
      <c r="U44" s="286" t="s">
        <v>25</v>
      </c>
      <c r="V44" s="286" t="s">
        <v>26</v>
      </c>
      <c r="W44" s="286" t="s">
        <v>27</v>
      </c>
      <c r="X44" s="286" t="s">
        <v>28</v>
      </c>
      <c r="Y44" s="286" t="s">
        <v>29</v>
      </c>
      <c r="Z44" s="286" t="s">
        <v>30</v>
      </c>
      <c r="AA44" s="286" t="s">
        <v>31</v>
      </c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</row>
    <row r="45" spans="1:59" s="296" customFormat="1" x14ac:dyDescent="0.2">
      <c r="A45" s="22" t="str">
        <f>INDATA!A57</f>
        <v>HVC EO1</v>
      </c>
      <c r="B45" s="495">
        <f>1*1/'ÄNDRINGSBARA PARAMETRAR'!B47*'ÄNDRINGSBARA PARAMETRAR'!B16</f>
        <v>338.8235294117647</v>
      </c>
      <c r="C45" s="495">
        <f>1*1/'ÄNDRINGSBARA PARAMETRAR'!C47*'ÄNDRINGSBARA PARAMETRAR'!C16</f>
        <v>338.8235294117647</v>
      </c>
      <c r="D45" s="495">
        <f>1*1/'ÄNDRINGSBARA PARAMETRAR'!D47*'ÄNDRINGSBARA PARAMETRAR'!D16</f>
        <v>338.8235294117647</v>
      </c>
      <c r="E45" s="495">
        <f>1*1/'ÄNDRINGSBARA PARAMETRAR'!E47*'ÄNDRINGSBARA PARAMETRAR'!E16</f>
        <v>338.8235294117647</v>
      </c>
      <c r="F45" s="495">
        <f>1*1/'ÄNDRINGSBARA PARAMETRAR'!F47*'ÄNDRINGSBARA PARAMETRAR'!F16</f>
        <v>338.8235294117647</v>
      </c>
      <c r="G45" s="495">
        <f>1*1/'ÄNDRINGSBARA PARAMETRAR'!G47*'ÄNDRINGSBARA PARAMETRAR'!G16</f>
        <v>338.8235294117647</v>
      </c>
      <c r="H45" s="495">
        <f>1*1/'ÄNDRINGSBARA PARAMETRAR'!H47*'ÄNDRINGSBARA PARAMETRAR'!H16</f>
        <v>338.8235294117647</v>
      </c>
      <c r="I45" s="495">
        <f>1*1/'ÄNDRINGSBARA PARAMETRAR'!I47*'ÄNDRINGSBARA PARAMETRAR'!I16</f>
        <v>338.8235294117647</v>
      </c>
      <c r="J45" s="495">
        <f>1*1/'ÄNDRINGSBARA PARAMETRAR'!J47*'ÄNDRINGSBARA PARAMETRAR'!J16</f>
        <v>338.8235294117647</v>
      </c>
      <c r="K45" s="495">
        <f>1*1/'ÄNDRINGSBARA PARAMETRAR'!K47*'ÄNDRINGSBARA PARAMETRAR'!K16</f>
        <v>338.8235294117647</v>
      </c>
      <c r="L45" s="495">
        <f>1*1/'ÄNDRINGSBARA PARAMETRAR'!L47*'ÄNDRINGSBARA PARAMETRAR'!L16</f>
        <v>338.8235294117647</v>
      </c>
      <c r="M45" s="496">
        <f>1*1/'ÄNDRINGSBARA PARAMETRAR'!M47*'ÄNDRINGSBARA PARAMETRAR'!M16</f>
        <v>338.8235294117647</v>
      </c>
      <c r="O45" s="22" t="str">
        <f>A45</f>
        <v>HVC EO1</v>
      </c>
      <c r="P45" s="493">
        <f>1*1/'ÄNDRINGSBARA PARAMETRAR'!B47*'ÄNDRINGSBARA PARAMETRAR'!B31</f>
        <v>1.3058823529411767</v>
      </c>
      <c r="Q45" s="493">
        <f>1*1/'ÄNDRINGSBARA PARAMETRAR'!C47*'ÄNDRINGSBARA PARAMETRAR'!C31</f>
        <v>1.3058823529411767</v>
      </c>
      <c r="R45" s="493">
        <f>1*1/'ÄNDRINGSBARA PARAMETRAR'!D47*'ÄNDRINGSBARA PARAMETRAR'!D31</f>
        <v>1.3058823529411767</v>
      </c>
      <c r="S45" s="493">
        <f>1*1/'ÄNDRINGSBARA PARAMETRAR'!E47*'ÄNDRINGSBARA PARAMETRAR'!E31</f>
        <v>1.3058823529411767</v>
      </c>
      <c r="T45" s="493">
        <f>1*1/'ÄNDRINGSBARA PARAMETRAR'!F47*'ÄNDRINGSBARA PARAMETRAR'!F31</f>
        <v>1.3058823529411767</v>
      </c>
      <c r="U45" s="493">
        <f>1*1/'ÄNDRINGSBARA PARAMETRAR'!G47*'ÄNDRINGSBARA PARAMETRAR'!G31</f>
        <v>1.3058823529411767</v>
      </c>
      <c r="V45" s="493">
        <f>1*1/'ÄNDRINGSBARA PARAMETRAR'!H47*'ÄNDRINGSBARA PARAMETRAR'!H31</f>
        <v>1.3058823529411767</v>
      </c>
      <c r="W45" s="493">
        <f>1*1/'ÄNDRINGSBARA PARAMETRAR'!I47*'ÄNDRINGSBARA PARAMETRAR'!I31</f>
        <v>1.3058823529411767</v>
      </c>
      <c r="X45" s="493">
        <f>1*1/'ÄNDRINGSBARA PARAMETRAR'!J47*'ÄNDRINGSBARA PARAMETRAR'!J31</f>
        <v>1.3058823529411767</v>
      </c>
      <c r="Y45" s="493">
        <f>1*1/'ÄNDRINGSBARA PARAMETRAR'!K47*'ÄNDRINGSBARA PARAMETRAR'!K31</f>
        <v>1.3058823529411767</v>
      </c>
      <c r="Z45" s="493">
        <f>1*1/'ÄNDRINGSBARA PARAMETRAR'!L47*'ÄNDRINGSBARA PARAMETRAR'!L31</f>
        <v>1.3058823529411767</v>
      </c>
      <c r="AA45" s="494">
        <f>1*1/'ÄNDRINGSBARA PARAMETRAR'!M47*'ÄNDRINGSBARA PARAMETRAR'!M31</f>
        <v>1.3058823529411767</v>
      </c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</row>
    <row r="46" spans="1:59" s="296" customFormat="1" x14ac:dyDescent="0.2">
      <c r="A46" s="22" t="str">
        <f>INDATA!A58</f>
        <v>HVC bioolja</v>
      </c>
      <c r="B46" s="495">
        <f>1*1/'ÄNDRINGSBARA PARAMETRAR'!B48*'ÄNDRINGSBARA PARAMETRAR'!B17</f>
        <v>0.80000000000000016</v>
      </c>
      <c r="C46" s="495">
        <f>1*1/'ÄNDRINGSBARA PARAMETRAR'!C48*'ÄNDRINGSBARA PARAMETRAR'!C17</f>
        <v>0.80000000000000016</v>
      </c>
      <c r="D46" s="495">
        <f>1*1/'ÄNDRINGSBARA PARAMETRAR'!D48*'ÄNDRINGSBARA PARAMETRAR'!D17</f>
        <v>0.80000000000000016</v>
      </c>
      <c r="E46" s="495">
        <f>1*1/'ÄNDRINGSBARA PARAMETRAR'!E48*'ÄNDRINGSBARA PARAMETRAR'!E17</f>
        <v>0.80000000000000016</v>
      </c>
      <c r="F46" s="495">
        <f>1*1/'ÄNDRINGSBARA PARAMETRAR'!F48*'ÄNDRINGSBARA PARAMETRAR'!F17</f>
        <v>0.80000000000000016</v>
      </c>
      <c r="G46" s="495">
        <f>1*1/'ÄNDRINGSBARA PARAMETRAR'!G48*'ÄNDRINGSBARA PARAMETRAR'!G17</f>
        <v>0.80000000000000016</v>
      </c>
      <c r="H46" s="495">
        <f>1*1/'ÄNDRINGSBARA PARAMETRAR'!H48*'ÄNDRINGSBARA PARAMETRAR'!H17</f>
        <v>0.80000000000000016</v>
      </c>
      <c r="I46" s="495">
        <f>1*1/'ÄNDRINGSBARA PARAMETRAR'!I48*'ÄNDRINGSBARA PARAMETRAR'!I17</f>
        <v>0.80000000000000016</v>
      </c>
      <c r="J46" s="495">
        <f>1*1/'ÄNDRINGSBARA PARAMETRAR'!J48*'ÄNDRINGSBARA PARAMETRAR'!J17</f>
        <v>0.80000000000000016</v>
      </c>
      <c r="K46" s="495">
        <f>1*1/'ÄNDRINGSBARA PARAMETRAR'!K48*'ÄNDRINGSBARA PARAMETRAR'!K17</f>
        <v>0.80000000000000016</v>
      </c>
      <c r="L46" s="495">
        <f>1*1/'ÄNDRINGSBARA PARAMETRAR'!L48*'ÄNDRINGSBARA PARAMETRAR'!L17</f>
        <v>0.80000000000000016</v>
      </c>
      <c r="M46" s="496">
        <f>1*1/'ÄNDRINGSBARA PARAMETRAR'!M48*'ÄNDRINGSBARA PARAMETRAR'!M17</f>
        <v>0.80000000000000016</v>
      </c>
      <c r="O46" s="22" t="str">
        <f t="shared" ref="O46:O54" si="66">A46</f>
        <v>HVC bioolja</v>
      </c>
      <c r="P46" s="493">
        <f>1*1/'ÄNDRINGSBARA PARAMETRAR'!B48*'ÄNDRINGSBARA PARAMETRAR'!B32</f>
        <v>4.4444444444444446E-2</v>
      </c>
      <c r="Q46" s="493">
        <f>1*1/'ÄNDRINGSBARA PARAMETRAR'!C48*'ÄNDRINGSBARA PARAMETRAR'!C32</f>
        <v>4.4444444444444446E-2</v>
      </c>
      <c r="R46" s="493">
        <f>1*1/'ÄNDRINGSBARA PARAMETRAR'!D48*'ÄNDRINGSBARA PARAMETRAR'!D32</f>
        <v>4.4444444444444446E-2</v>
      </c>
      <c r="S46" s="493">
        <f>1*1/'ÄNDRINGSBARA PARAMETRAR'!E48*'ÄNDRINGSBARA PARAMETRAR'!E32</f>
        <v>4.4444444444444446E-2</v>
      </c>
      <c r="T46" s="493">
        <f>1*1/'ÄNDRINGSBARA PARAMETRAR'!F48*'ÄNDRINGSBARA PARAMETRAR'!F32</f>
        <v>4.4444444444444446E-2</v>
      </c>
      <c r="U46" s="493">
        <f>1*1/'ÄNDRINGSBARA PARAMETRAR'!G48*'ÄNDRINGSBARA PARAMETRAR'!G32</f>
        <v>4.4444444444444446E-2</v>
      </c>
      <c r="V46" s="493">
        <f>1*1/'ÄNDRINGSBARA PARAMETRAR'!H48*'ÄNDRINGSBARA PARAMETRAR'!H32</f>
        <v>4.4444444444444446E-2</v>
      </c>
      <c r="W46" s="493">
        <f>1*1/'ÄNDRINGSBARA PARAMETRAR'!I48*'ÄNDRINGSBARA PARAMETRAR'!I32</f>
        <v>4.4444444444444446E-2</v>
      </c>
      <c r="X46" s="493">
        <f>1*1/'ÄNDRINGSBARA PARAMETRAR'!J48*'ÄNDRINGSBARA PARAMETRAR'!J32</f>
        <v>4.4444444444444446E-2</v>
      </c>
      <c r="Y46" s="493">
        <f>1*1/'ÄNDRINGSBARA PARAMETRAR'!K48*'ÄNDRINGSBARA PARAMETRAR'!K32</f>
        <v>4.4444444444444446E-2</v>
      </c>
      <c r="Z46" s="493">
        <f>1*1/'ÄNDRINGSBARA PARAMETRAR'!L48*'ÄNDRINGSBARA PARAMETRAR'!L32</f>
        <v>4.4444444444444446E-2</v>
      </c>
      <c r="AA46" s="494">
        <f>1*1/'ÄNDRINGSBARA PARAMETRAR'!M48*'ÄNDRINGSBARA PARAMETRAR'!M32</f>
        <v>4.4444444444444446E-2</v>
      </c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</row>
    <row r="47" spans="1:59" s="296" customFormat="1" x14ac:dyDescent="0.2">
      <c r="A47" s="22" t="str">
        <f>INDATA!A59</f>
        <v>HVC pellets</v>
      </c>
      <c r="B47" s="495">
        <f>1*1/'ÄNDRINGSBARA PARAMETRAR'!B49*'ÄNDRINGSBARA PARAMETRAR'!B18</f>
        <v>9.9</v>
      </c>
      <c r="C47" s="495">
        <f>1*1/'ÄNDRINGSBARA PARAMETRAR'!C49*'ÄNDRINGSBARA PARAMETRAR'!C18</f>
        <v>9.9</v>
      </c>
      <c r="D47" s="495">
        <f>1*1/'ÄNDRINGSBARA PARAMETRAR'!D49*'ÄNDRINGSBARA PARAMETRAR'!D18</f>
        <v>9.9</v>
      </c>
      <c r="E47" s="495">
        <f>1*1/'ÄNDRINGSBARA PARAMETRAR'!E49*'ÄNDRINGSBARA PARAMETRAR'!E18</f>
        <v>9.9</v>
      </c>
      <c r="F47" s="495">
        <f>1*1/'ÄNDRINGSBARA PARAMETRAR'!F49*'ÄNDRINGSBARA PARAMETRAR'!F18</f>
        <v>9.9</v>
      </c>
      <c r="G47" s="495">
        <f>1*1/'ÄNDRINGSBARA PARAMETRAR'!G49*'ÄNDRINGSBARA PARAMETRAR'!G18</f>
        <v>9.9</v>
      </c>
      <c r="H47" s="495">
        <f>1*1/'ÄNDRINGSBARA PARAMETRAR'!H49*'ÄNDRINGSBARA PARAMETRAR'!H18</f>
        <v>9.9</v>
      </c>
      <c r="I47" s="495">
        <f>1*1/'ÄNDRINGSBARA PARAMETRAR'!I49*'ÄNDRINGSBARA PARAMETRAR'!I18</f>
        <v>9.9</v>
      </c>
      <c r="J47" s="495">
        <f>1*1/'ÄNDRINGSBARA PARAMETRAR'!J49*'ÄNDRINGSBARA PARAMETRAR'!J18</f>
        <v>9.9</v>
      </c>
      <c r="K47" s="495">
        <f>1*1/'ÄNDRINGSBARA PARAMETRAR'!K49*'ÄNDRINGSBARA PARAMETRAR'!K18</f>
        <v>9.9</v>
      </c>
      <c r="L47" s="495">
        <f>1*1/'ÄNDRINGSBARA PARAMETRAR'!L49*'ÄNDRINGSBARA PARAMETRAR'!L18</f>
        <v>9.9</v>
      </c>
      <c r="M47" s="496">
        <f>1*1/'ÄNDRINGSBARA PARAMETRAR'!M49*'ÄNDRINGSBARA PARAMETRAR'!M18</f>
        <v>9.9</v>
      </c>
      <c r="O47" s="22" t="str">
        <f t="shared" si="66"/>
        <v>HVC pellets</v>
      </c>
      <c r="P47" s="493">
        <f>1*1/'ÄNDRINGSBARA PARAMETRAR'!B49*'ÄNDRINGSBARA PARAMETRAR'!B33</f>
        <v>1.3875000000000002</v>
      </c>
      <c r="Q47" s="493">
        <f>1*1/'ÄNDRINGSBARA PARAMETRAR'!C49*'ÄNDRINGSBARA PARAMETRAR'!C33</f>
        <v>1.3875000000000002</v>
      </c>
      <c r="R47" s="493">
        <f>1*1/'ÄNDRINGSBARA PARAMETRAR'!D49*'ÄNDRINGSBARA PARAMETRAR'!D33</f>
        <v>1.3875000000000002</v>
      </c>
      <c r="S47" s="493">
        <f>1*1/'ÄNDRINGSBARA PARAMETRAR'!E49*'ÄNDRINGSBARA PARAMETRAR'!E33</f>
        <v>1.3875000000000002</v>
      </c>
      <c r="T47" s="493">
        <f>1*1/'ÄNDRINGSBARA PARAMETRAR'!F49*'ÄNDRINGSBARA PARAMETRAR'!F33</f>
        <v>1.3875000000000002</v>
      </c>
      <c r="U47" s="493">
        <f>1*1/'ÄNDRINGSBARA PARAMETRAR'!G49*'ÄNDRINGSBARA PARAMETRAR'!G33</f>
        <v>1.3875000000000002</v>
      </c>
      <c r="V47" s="493">
        <f>1*1/'ÄNDRINGSBARA PARAMETRAR'!H49*'ÄNDRINGSBARA PARAMETRAR'!H33</f>
        <v>1.3875000000000002</v>
      </c>
      <c r="W47" s="493">
        <f>1*1/'ÄNDRINGSBARA PARAMETRAR'!I49*'ÄNDRINGSBARA PARAMETRAR'!I33</f>
        <v>1.3875000000000002</v>
      </c>
      <c r="X47" s="493">
        <f>1*1/'ÄNDRINGSBARA PARAMETRAR'!J49*'ÄNDRINGSBARA PARAMETRAR'!J33</f>
        <v>1.3875000000000002</v>
      </c>
      <c r="Y47" s="493">
        <f>1*1/'ÄNDRINGSBARA PARAMETRAR'!K49*'ÄNDRINGSBARA PARAMETRAR'!K33</f>
        <v>1.3875000000000002</v>
      </c>
      <c r="Z47" s="493">
        <f>1*1/'ÄNDRINGSBARA PARAMETRAR'!L49*'ÄNDRINGSBARA PARAMETRAR'!L33</f>
        <v>1.3875000000000002</v>
      </c>
      <c r="AA47" s="494">
        <f>1*1/'ÄNDRINGSBARA PARAMETRAR'!M49*'ÄNDRINGSBARA PARAMETRAR'!M33</f>
        <v>1.3875000000000002</v>
      </c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</row>
    <row r="48" spans="1:59" s="296" customFormat="1" x14ac:dyDescent="0.2">
      <c r="A48" s="22" t="str">
        <f>INDATA!A60</f>
        <v>KVV avfall</v>
      </c>
      <c r="B48" s="497">
        <f>(1/'ÄNDRINGSBARA PARAMETRAR'!O50)/(1/'ÄNDRINGSBARA PARAMETRAR'!O50+'ÄNDRINGSBARA PARAMETRAR'!B65/'ÄNDRINGSBARA PARAMETRAR'!O65)*'ÄNDRINGSBARA PARAMETRAR'!B19</f>
        <v>76.000000000000014</v>
      </c>
      <c r="C48" s="497">
        <f>(1/'ÄNDRINGSBARA PARAMETRAR'!P50)/(1/'ÄNDRINGSBARA PARAMETRAR'!P50+'ÄNDRINGSBARA PARAMETRAR'!C65/'ÄNDRINGSBARA PARAMETRAR'!P65)*'ÄNDRINGSBARA PARAMETRAR'!C19</f>
        <v>76.000000000000014</v>
      </c>
      <c r="D48" s="497">
        <f>(1/'ÄNDRINGSBARA PARAMETRAR'!Q50)/(1/'ÄNDRINGSBARA PARAMETRAR'!Q50+'ÄNDRINGSBARA PARAMETRAR'!D65/'ÄNDRINGSBARA PARAMETRAR'!Q65)*'ÄNDRINGSBARA PARAMETRAR'!D19</f>
        <v>76.000000000000014</v>
      </c>
      <c r="E48" s="497">
        <f>(1/'ÄNDRINGSBARA PARAMETRAR'!R50)/(1/'ÄNDRINGSBARA PARAMETRAR'!R50+'ÄNDRINGSBARA PARAMETRAR'!E65/'ÄNDRINGSBARA PARAMETRAR'!R65)*'ÄNDRINGSBARA PARAMETRAR'!E19</f>
        <v>76.000000000000014</v>
      </c>
      <c r="F48" s="497">
        <f>(1/'ÄNDRINGSBARA PARAMETRAR'!S50)/(1/'ÄNDRINGSBARA PARAMETRAR'!S50+'ÄNDRINGSBARA PARAMETRAR'!F65/'ÄNDRINGSBARA PARAMETRAR'!S65)*'ÄNDRINGSBARA PARAMETRAR'!F19</f>
        <v>76.000000000000014</v>
      </c>
      <c r="G48" s="497">
        <f>(1/'ÄNDRINGSBARA PARAMETRAR'!T50)/(1/'ÄNDRINGSBARA PARAMETRAR'!T50+'ÄNDRINGSBARA PARAMETRAR'!G65/'ÄNDRINGSBARA PARAMETRAR'!T65)*'ÄNDRINGSBARA PARAMETRAR'!G19</f>
        <v>76.000000000000014</v>
      </c>
      <c r="H48" s="497">
        <f>(1/'ÄNDRINGSBARA PARAMETRAR'!U50)/(1/'ÄNDRINGSBARA PARAMETRAR'!U50+'ÄNDRINGSBARA PARAMETRAR'!H65/'ÄNDRINGSBARA PARAMETRAR'!U65)*'ÄNDRINGSBARA PARAMETRAR'!H19</f>
        <v>76.000000000000014</v>
      </c>
      <c r="I48" s="497">
        <f>(1/'ÄNDRINGSBARA PARAMETRAR'!V50)/(1/'ÄNDRINGSBARA PARAMETRAR'!V50+'ÄNDRINGSBARA PARAMETRAR'!I65/'ÄNDRINGSBARA PARAMETRAR'!V65)*'ÄNDRINGSBARA PARAMETRAR'!I19</f>
        <v>76.000000000000014</v>
      </c>
      <c r="J48" s="497">
        <f>(1/'ÄNDRINGSBARA PARAMETRAR'!W50)/(1/'ÄNDRINGSBARA PARAMETRAR'!W50+'ÄNDRINGSBARA PARAMETRAR'!J65/'ÄNDRINGSBARA PARAMETRAR'!W65)*'ÄNDRINGSBARA PARAMETRAR'!J19</f>
        <v>76.000000000000014</v>
      </c>
      <c r="K48" s="497">
        <f>(1/'ÄNDRINGSBARA PARAMETRAR'!X50)/(1/'ÄNDRINGSBARA PARAMETRAR'!X50+'ÄNDRINGSBARA PARAMETRAR'!K65/'ÄNDRINGSBARA PARAMETRAR'!X65)*'ÄNDRINGSBARA PARAMETRAR'!K19</f>
        <v>76.000000000000014</v>
      </c>
      <c r="L48" s="497">
        <f>(1/'ÄNDRINGSBARA PARAMETRAR'!Y50)/(1/'ÄNDRINGSBARA PARAMETRAR'!Y50+'ÄNDRINGSBARA PARAMETRAR'!L65/'ÄNDRINGSBARA PARAMETRAR'!Y65)*'ÄNDRINGSBARA PARAMETRAR'!L19</f>
        <v>76.000000000000014</v>
      </c>
      <c r="M48" s="497">
        <f>(1/'ÄNDRINGSBARA PARAMETRAR'!Z50)/(1/'ÄNDRINGSBARA PARAMETRAR'!Z50+'ÄNDRINGSBARA PARAMETRAR'!M65/'ÄNDRINGSBARA PARAMETRAR'!Z65)*'ÄNDRINGSBARA PARAMETRAR'!M19</f>
        <v>76.000000000000014</v>
      </c>
      <c r="O48" s="22" t="str">
        <f t="shared" si="66"/>
        <v>KVV avfall</v>
      </c>
      <c r="P48" s="486">
        <f>(1/'ÄNDRINGSBARA PARAMETRAR'!O50)/(1/'ÄNDRINGSBARA PARAMETRAR'!O50+'ÄNDRINGSBARA PARAMETRAR'!B65/'ÄNDRINGSBARA PARAMETRAR'!O65)*'ÄNDRINGSBARA PARAMETRAR'!B34</f>
        <v>2.2222222222222223E-2</v>
      </c>
      <c r="Q48" s="486">
        <f>(1/'ÄNDRINGSBARA PARAMETRAR'!P50)/(1/'ÄNDRINGSBARA PARAMETRAR'!P50+'ÄNDRINGSBARA PARAMETRAR'!C65/'ÄNDRINGSBARA PARAMETRAR'!P65)*'ÄNDRINGSBARA PARAMETRAR'!C34</f>
        <v>2.2222222222222223E-2</v>
      </c>
      <c r="R48" s="486">
        <f>(1/'ÄNDRINGSBARA PARAMETRAR'!Q50)/(1/'ÄNDRINGSBARA PARAMETRAR'!Q50+'ÄNDRINGSBARA PARAMETRAR'!D65/'ÄNDRINGSBARA PARAMETRAR'!Q65)*'ÄNDRINGSBARA PARAMETRAR'!D34</f>
        <v>2.2222222222222223E-2</v>
      </c>
      <c r="S48" s="486">
        <f>(1/'ÄNDRINGSBARA PARAMETRAR'!R50)/(1/'ÄNDRINGSBARA PARAMETRAR'!R50+'ÄNDRINGSBARA PARAMETRAR'!E65/'ÄNDRINGSBARA PARAMETRAR'!R65)*'ÄNDRINGSBARA PARAMETRAR'!E34</f>
        <v>2.2222222222222223E-2</v>
      </c>
      <c r="T48" s="486">
        <f>(1/'ÄNDRINGSBARA PARAMETRAR'!S50)/(1/'ÄNDRINGSBARA PARAMETRAR'!S50+'ÄNDRINGSBARA PARAMETRAR'!F65/'ÄNDRINGSBARA PARAMETRAR'!S65)*'ÄNDRINGSBARA PARAMETRAR'!F34</f>
        <v>2.2222222222222223E-2</v>
      </c>
      <c r="U48" s="486">
        <f>(1/'ÄNDRINGSBARA PARAMETRAR'!T50)/(1/'ÄNDRINGSBARA PARAMETRAR'!T50+'ÄNDRINGSBARA PARAMETRAR'!G65/'ÄNDRINGSBARA PARAMETRAR'!T65)*'ÄNDRINGSBARA PARAMETRAR'!G34</f>
        <v>2.2222222222222223E-2</v>
      </c>
      <c r="V48" s="486">
        <f>(1/'ÄNDRINGSBARA PARAMETRAR'!U50)/(1/'ÄNDRINGSBARA PARAMETRAR'!U50+'ÄNDRINGSBARA PARAMETRAR'!H65/'ÄNDRINGSBARA PARAMETRAR'!U65)*'ÄNDRINGSBARA PARAMETRAR'!H34</f>
        <v>2.2222222222222223E-2</v>
      </c>
      <c r="W48" s="486">
        <f>(1/'ÄNDRINGSBARA PARAMETRAR'!V50)/(1/'ÄNDRINGSBARA PARAMETRAR'!V50+'ÄNDRINGSBARA PARAMETRAR'!I65/'ÄNDRINGSBARA PARAMETRAR'!V65)*'ÄNDRINGSBARA PARAMETRAR'!I34</f>
        <v>2.2222222222222223E-2</v>
      </c>
      <c r="X48" s="486">
        <f>(1/'ÄNDRINGSBARA PARAMETRAR'!W50)/(1/'ÄNDRINGSBARA PARAMETRAR'!W50+'ÄNDRINGSBARA PARAMETRAR'!J65/'ÄNDRINGSBARA PARAMETRAR'!W65)*'ÄNDRINGSBARA PARAMETRAR'!J34</f>
        <v>2.2222222222222223E-2</v>
      </c>
      <c r="Y48" s="486">
        <f>(1/'ÄNDRINGSBARA PARAMETRAR'!X50)/(1/'ÄNDRINGSBARA PARAMETRAR'!X50+'ÄNDRINGSBARA PARAMETRAR'!K65/'ÄNDRINGSBARA PARAMETRAR'!X65)*'ÄNDRINGSBARA PARAMETRAR'!K34</f>
        <v>2.2222222222222223E-2</v>
      </c>
      <c r="Z48" s="486">
        <f>(1/'ÄNDRINGSBARA PARAMETRAR'!Y50)/(1/'ÄNDRINGSBARA PARAMETRAR'!Y50+'ÄNDRINGSBARA PARAMETRAR'!L65/'ÄNDRINGSBARA PARAMETRAR'!Y65)*'ÄNDRINGSBARA PARAMETRAR'!L34</f>
        <v>2.2222222222222223E-2</v>
      </c>
      <c r="AA48" s="486">
        <f>(1/'ÄNDRINGSBARA PARAMETRAR'!Z50)/(1/'ÄNDRINGSBARA PARAMETRAR'!Z50+'ÄNDRINGSBARA PARAMETRAR'!M65/'ÄNDRINGSBARA PARAMETRAR'!Z65)*'ÄNDRINGSBARA PARAMETRAR'!M34</f>
        <v>2.2222222222222223E-2</v>
      </c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</row>
    <row r="49" spans="1:59" s="296" customFormat="1" x14ac:dyDescent="0.2">
      <c r="A49" s="22" t="str">
        <f>INDATA!A61</f>
        <v>KVV grot</v>
      </c>
      <c r="B49" s="497">
        <f>(1/'ÄNDRINGSBARA PARAMETRAR'!O51)/(1/'ÄNDRINGSBARA PARAMETRAR'!O51+'ÄNDRINGSBARA PARAMETRAR'!B66/'ÄNDRINGSBARA PARAMETRAR'!O66)*'ÄNDRINGSBARA PARAMETRAR'!B20</f>
        <v>4.4000000000000004</v>
      </c>
      <c r="C49" s="497">
        <f>(1/'ÄNDRINGSBARA PARAMETRAR'!P51)/(1/'ÄNDRINGSBARA PARAMETRAR'!P51+'ÄNDRINGSBARA PARAMETRAR'!C66/'ÄNDRINGSBARA PARAMETRAR'!P66)*'ÄNDRINGSBARA PARAMETRAR'!C20</f>
        <v>4.4000000000000004</v>
      </c>
      <c r="D49" s="497">
        <f>(1/'ÄNDRINGSBARA PARAMETRAR'!Q51)/(1/'ÄNDRINGSBARA PARAMETRAR'!Q51+'ÄNDRINGSBARA PARAMETRAR'!D66/'ÄNDRINGSBARA PARAMETRAR'!Q66)*'ÄNDRINGSBARA PARAMETRAR'!D20</f>
        <v>4.4000000000000004</v>
      </c>
      <c r="E49" s="497">
        <f>(1/'ÄNDRINGSBARA PARAMETRAR'!R51)/(1/'ÄNDRINGSBARA PARAMETRAR'!R51+'ÄNDRINGSBARA PARAMETRAR'!E66/'ÄNDRINGSBARA PARAMETRAR'!R66)*'ÄNDRINGSBARA PARAMETRAR'!E20</f>
        <v>4.4000000000000004</v>
      </c>
      <c r="F49" s="497">
        <f>(1/'ÄNDRINGSBARA PARAMETRAR'!S51)/(1/'ÄNDRINGSBARA PARAMETRAR'!S51+'ÄNDRINGSBARA PARAMETRAR'!F66/'ÄNDRINGSBARA PARAMETRAR'!S66)*'ÄNDRINGSBARA PARAMETRAR'!F20</f>
        <v>4.4000000000000004</v>
      </c>
      <c r="G49" s="497">
        <f>(1/'ÄNDRINGSBARA PARAMETRAR'!T51)/(1/'ÄNDRINGSBARA PARAMETRAR'!T51+'ÄNDRINGSBARA PARAMETRAR'!G66/'ÄNDRINGSBARA PARAMETRAR'!T66)*'ÄNDRINGSBARA PARAMETRAR'!G20</f>
        <v>4.4000000000000004</v>
      </c>
      <c r="H49" s="497">
        <f>(1/'ÄNDRINGSBARA PARAMETRAR'!U51)/(1/'ÄNDRINGSBARA PARAMETRAR'!U51+'ÄNDRINGSBARA PARAMETRAR'!H66/'ÄNDRINGSBARA PARAMETRAR'!U66)*'ÄNDRINGSBARA PARAMETRAR'!H20</f>
        <v>4.4000000000000004</v>
      </c>
      <c r="I49" s="497">
        <f>(1/'ÄNDRINGSBARA PARAMETRAR'!V51)/(1/'ÄNDRINGSBARA PARAMETRAR'!V51+'ÄNDRINGSBARA PARAMETRAR'!I66/'ÄNDRINGSBARA PARAMETRAR'!V66)*'ÄNDRINGSBARA PARAMETRAR'!I20</f>
        <v>4.4000000000000004</v>
      </c>
      <c r="J49" s="497">
        <f>(1/'ÄNDRINGSBARA PARAMETRAR'!W51)/(1/'ÄNDRINGSBARA PARAMETRAR'!W51+'ÄNDRINGSBARA PARAMETRAR'!J66/'ÄNDRINGSBARA PARAMETRAR'!W66)*'ÄNDRINGSBARA PARAMETRAR'!J20</f>
        <v>4.4000000000000004</v>
      </c>
      <c r="K49" s="497">
        <f>(1/'ÄNDRINGSBARA PARAMETRAR'!X51)/(1/'ÄNDRINGSBARA PARAMETRAR'!X51+'ÄNDRINGSBARA PARAMETRAR'!K66/'ÄNDRINGSBARA PARAMETRAR'!X66)*'ÄNDRINGSBARA PARAMETRAR'!K20</f>
        <v>4.4000000000000004</v>
      </c>
      <c r="L49" s="497">
        <f>(1/'ÄNDRINGSBARA PARAMETRAR'!Y51)/(1/'ÄNDRINGSBARA PARAMETRAR'!Y51+'ÄNDRINGSBARA PARAMETRAR'!L66/'ÄNDRINGSBARA PARAMETRAR'!Y66)*'ÄNDRINGSBARA PARAMETRAR'!L20</f>
        <v>4.4000000000000004</v>
      </c>
      <c r="M49" s="497">
        <f>(1/'ÄNDRINGSBARA PARAMETRAR'!Z51)/(1/'ÄNDRINGSBARA PARAMETRAR'!Z51+'ÄNDRINGSBARA PARAMETRAR'!M66/'ÄNDRINGSBARA PARAMETRAR'!Z66)*'ÄNDRINGSBARA PARAMETRAR'!M20</f>
        <v>4.4000000000000004</v>
      </c>
      <c r="O49" s="22" t="str">
        <f t="shared" si="66"/>
        <v>KVV grot</v>
      </c>
      <c r="P49" s="486">
        <f>(1/'ÄNDRINGSBARA PARAMETRAR'!O51)/(1/'ÄNDRINGSBARA PARAMETRAR'!O51+'ÄNDRINGSBARA PARAMETRAR'!B66/'ÄNDRINGSBARA PARAMETRAR'!O66)*'ÄNDRINGSBARA PARAMETRAR'!B35</f>
        <v>1.6666666666666666E-2</v>
      </c>
      <c r="Q49" s="486">
        <f>(1/'ÄNDRINGSBARA PARAMETRAR'!P51)/(1/'ÄNDRINGSBARA PARAMETRAR'!P51+'ÄNDRINGSBARA PARAMETRAR'!C66/'ÄNDRINGSBARA PARAMETRAR'!P66)*'ÄNDRINGSBARA PARAMETRAR'!C35</f>
        <v>1.6666666666666666E-2</v>
      </c>
      <c r="R49" s="486">
        <f>(1/'ÄNDRINGSBARA PARAMETRAR'!Q51)/(1/'ÄNDRINGSBARA PARAMETRAR'!Q51+'ÄNDRINGSBARA PARAMETRAR'!D66/'ÄNDRINGSBARA PARAMETRAR'!Q66)*'ÄNDRINGSBARA PARAMETRAR'!D35</f>
        <v>1.6666666666666666E-2</v>
      </c>
      <c r="S49" s="486">
        <f>(1/'ÄNDRINGSBARA PARAMETRAR'!R51)/(1/'ÄNDRINGSBARA PARAMETRAR'!R51+'ÄNDRINGSBARA PARAMETRAR'!E66/'ÄNDRINGSBARA PARAMETRAR'!R66)*'ÄNDRINGSBARA PARAMETRAR'!E35</f>
        <v>1.6666666666666666E-2</v>
      </c>
      <c r="T49" s="486">
        <f>(1/'ÄNDRINGSBARA PARAMETRAR'!S51)/(1/'ÄNDRINGSBARA PARAMETRAR'!S51+'ÄNDRINGSBARA PARAMETRAR'!F66/'ÄNDRINGSBARA PARAMETRAR'!S66)*'ÄNDRINGSBARA PARAMETRAR'!F35</f>
        <v>1.6666666666666666E-2</v>
      </c>
      <c r="U49" s="486">
        <f>(1/'ÄNDRINGSBARA PARAMETRAR'!T51)/(1/'ÄNDRINGSBARA PARAMETRAR'!T51+'ÄNDRINGSBARA PARAMETRAR'!G66/'ÄNDRINGSBARA PARAMETRAR'!T66)*'ÄNDRINGSBARA PARAMETRAR'!G35</f>
        <v>1.6666666666666666E-2</v>
      </c>
      <c r="V49" s="486">
        <f>(1/'ÄNDRINGSBARA PARAMETRAR'!U51)/(1/'ÄNDRINGSBARA PARAMETRAR'!U51+'ÄNDRINGSBARA PARAMETRAR'!H66/'ÄNDRINGSBARA PARAMETRAR'!U66)*'ÄNDRINGSBARA PARAMETRAR'!H35</f>
        <v>1.6666666666666666E-2</v>
      </c>
      <c r="W49" s="486">
        <f>(1/'ÄNDRINGSBARA PARAMETRAR'!V51)/(1/'ÄNDRINGSBARA PARAMETRAR'!V51+'ÄNDRINGSBARA PARAMETRAR'!I66/'ÄNDRINGSBARA PARAMETRAR'!V66)*'ÄNDRINGSBARA PARAMETRAR'!I35</f>
        <v>1.6666666666666666E-2</v>
      </c>
      <c r="X49" s="486">
        <f>(1/'ÄNDRINGSBARA PARAMETRAR'!W51)/(1/'ÄNDRINGSBARA PARAMETRAR'!W51+'ÄNDRINGSBARA PARAMETRAR'!J66/'ÄNDRINGSBARA PARAMETRAR'!W66)*'ÄNDRINGSBARA PARAMETRAR'!J35</f>
        <v>1.6666666666666666E-2</v>
      </c>
      <c r="Y49" s="486">
        <f>(1/'ÄNDRINGSBARA PARAMETRAR'!X51)/(1/'ÄNDRINGSBARA PARAMETRAR'!X51+'ÄNDRINGSBARA PARAMETRAR'!K66/'ÄNDRINGSBARA PARAMETRAR'!X66)*'ÄNDRINGSBARA PARAMETRAR'!K35</f>
        <v>1.6666666666666666E-2</v>
      </c>
      <c r="Z49" s="486">
        <f>(1/'ÄNDRINGSBARA PARAMETRAR'!Y51)/(1/'ÄNDRINGSBARA PARAMETRAR'!Y51+'ÄNDRINGSBARA PARAMETRAR'!L66/'ÄNDRINGSBARA PARAMETRAR'!Y66)*'ÄNDRINGSBARA PARAMETRAR'!L35</f>
        <v>1.6666666666666666E-2</v>
      </c>
      <c r="AA49" s="486">
        <f>(1/'ÄNDRINGSBARA PARAMETRAR'!Z51)/(1/'ÄNDRINGSBARA PARAMETRAR'!Z51+'ÄNDRINGSBARA PARAMETRAR'!M66/'ÄNDRINGSBARA PARAMETRAR'!Z66)*'ÄNDRINGSBARA PARAMETRAR'!M35</f>
        <v>1.6666666666666666E-2</v>
      </c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</row>
    <row r="50" spans="1:59" s="296" customFormat="1" x14ac:dyDescent="0.2">
      <c r="A50" s="22" t="str">
        <f>INDATA!A62</f>
        <v>Värmepump COP3</v>
      </c>
      <c r="B50" s="495">
        <f>1*1/'ÄNDRINGSBARA PARAMETRAR'!B52*'ÄNDRINGSBARA PARAMETRAR'!B21</f>
        <v>294.66666666666663</v>
      </c>
      <c r="C50" s="495">
        <f>1*1/'ÄNDRINGSBARA PARAMETRAR'!C52*'ÄNDRINGSBARA PARAMETRAR'!C21</f>
        <v>294.66666666666663</v>
      </c>
      <c r="D50" s="495">
        <f>1*1/'ÄNDRINGSBARA PARAMETRAR'!D52*'ÄNDRINGSBARA PARAMETRAR'!D21</f>
        <v>294.66666666666663</v>
      </c>
      <c r="E50" s="495">
        <f>1*1/'ÄNDRINGSBARA PARAMETRAR'!E52*'ÄNDRINGSBARA PARAMETRAR'!E21</f>
        <v>294.66666666666663</v>
      </c>
      <c r="F50" s="495">
        <f>1*1/'ÄNDRINGSBARA PARAMETRAR'!F52*'ÄNDRINGSBARA PARAMETRAR'!F21</f>
        <v>294.66666666666663</v>
      </c>
      <c r="G50" s="495">
        <f>1*1/'ÄNDRINGSBARA PARAMETRAR'!G52*'ÄNDRINGSBARA PARAMETRAR'!G21</f>
        <v>294.66666666666663</v>
      </c>
      <c r="H50" s="495">
        <f>1*1/'ÄNDRINGSBARA PARAMETRAR'!H52*'ÄNDRINGSBARA PARAMETRAR'!H21</f>
        <v>294.66666666666663</v>
      </c>
      <c r="I50" s="495">
        <f>1*1/'ÄNDRINGSBARA PARAMETRAR'!I52*'ÄNDRINGSBARA PARAMETRAR'!I21</f>
        <v>294.66666666666663</v>
      </c>
      <c r="J50" s="495">
        <f>1*1/'ÄNDRINGSBARA PARAMETRAR'!J52*'ÄNDRINGSBARA PARAMETRAR'!J21</f>
        <v>294.66666666666663</v>
      </c>
      <c r="K50" s="495">
        <f>1*1/'ÄNDRINGSBARA PARAMETRAR'!K52*'ÄNDRINGSBARA PARAMETRAR'!K21</f>
        <v>294.66666666666663</v>
      </c>
      <c r="L50" s="495">
        <f>1*1/'ÄNDRINGSBARA PARAMETRAR'!L52*'ÄNDRINGSBARA PARAMETRAR'!L21</f>
        <v>294.66666666666663</v>
      </c>
      <c r="M50" s="496">
        <f>1*1/'ÄNDRINGSBARA PARAMETRAR'!M52*'ÄNDRINGSBARA PARAMETRAR'!M21</f>
        <v>294.66666666666663</v>
      </c>
      <c r="O50" s="22" t="str">
        <f t="shared" si="66"/>
        <v>Värmepump COP3</v>
      </c>
      <c r="P50" s="493">
        <f>1*1/'ÄNDRINGSBARA PARAMETRAR'!B52*'ÄNDRINGSBARA PARAMETRAR'!B36</f>
        <v>0.88122605363984663</v>
      </c>
      <c r="Q50" s="493">
        <f>1*1/'ÄNDRINGSBARA PARAMETRAR'!C52*'ÄNDRINGSBARA PARAMETRAR'!C36</f>
        <v>0.88122605363984663</v>
      </c>
      <c r="R50" s="493">
        <f>1*1/'ÄNDRINGSBARA PARAMETRAR'!D52*'ÄNDRINGSBARA PARAMETRAR'!D36</f>
        <v>0.88122605363984663</v>
      </c>
      <c r="S50" s="493">
        <f>1*1/'ÄNDRINGSBARA PARAMETRAR'!E52*'ÄNDRINGSBARA PARAMETRAR'!E36</f>
        <v>0.88122605363984663</v>
      </c>
      <c r="T50" s="493">
        <f>1*1/'ÄNDRINGSBARA PARAMETRAR'!F52*'ÄNDRINGSBARA PARAMETRAR'!F36</f>
        <v>0.88122605363984663</v>
      </c>
      <c r="U50" s="493">
        <f>1*1/'ÄNDRINGSBARA PARAMETRAR'!G52*'ÄNDRINGSBARA PARAMETRAR'!G36</f>
        <v>0.88122605363984663</v>
      </c>
      <c r="V50" s="493">
        <f>1*1/'ÄNDRINGSBARA PARAMETRAR'!H52*'ÄNDRINGSBARA PARAMETRAR'!H36</f>
        <v>0.88122605363984663</v>
      </c>
      <c r="W50" s="493">
        <f>1*1/'ÄNDRINGSBARA PARAMETRAR'!I52*'ÄNDRINGSBARA PARAMETRAR'!I36</f>
        <v>0.88122605363984663</v>
      </c>
      <c r="X50" s="493">
        <f>1*1/'ÄNDRINGSBARA PARAMETRAR'!J52*'ÄNDRINGSBARA PARAMETRAR'!J36</f>
        <v>0.88122605363984663</v>
      </c>
      <c r="Y50" s="493">
        <f>1*1/'ÄNDRINGSBARA PARAMETRAR'!K52*'ÄNDRINGSBARA PARAMETRAR'!K36</f>
        <v>0.88122605363984663</v>
      </c>
      <c r="Z50" s="493">
        <f>1*1/'ÄNDRINGSBARA PARAMETRAR'!L52*'ÄNDRINGSBARA PARAMETRAR'!L36</f>
        <v>0.88122605363984663</v>
      </c>
      <c r="AA50" s="494">
        <f>1*1/'ÄNDRINGSBARA PARAMETRAR'!M52*'ÄNDRINGSBARA PARAMETRAR'!M36</f>
        <v>0.88122605363984663</v>
      </c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</row>
    <row r="51" spans="1:59" s="296" customFormat="1" x14ac:dyDescent="0.2">
      <c r="A51" s="22" t="str">
        <f>INDATA!A63</f>
        <v>Spillvärme industri</v>
      </c>
      <c r="B51" s="495">
        <f>1*1/'ÄNDRINGSBARA PARAMETRAR'!B53*'ÄNDRINGSBARA PARAMETRAR'!B22</f>
        <v>0</v>
      </c>
      <c r="C51" s="495">
        <f>1*1/'ÄNDRINGSBARA PARAMETRAR'!C53*'ÄNDRINGSBARA PARAMETRAR'!C22</f>
        <v>0</v>
      </c>
      <c r="D51" s="495">
        <f>1*1/'ÄNDRINGSBARA PARAMETRAR'!D53*'ÄNDRINGSBARA PARAMETRAR'!D22</f>
        <v>0</v>
      </c>
      <c r="E51" s="495">
        <f>1*1/'ÄNDRINGSBARA PARAMETRAR'!E53*'ÄNDRINGSBARA PARAMETRAR'!E22</f>
        <v>0</v>
      </c>
      <c r="F51" s="495">
        <f>1*1/'ÄNDRINGSBARA PARAMETRAR'!F53*'ÄNDRINGSBARA PARAMETRAR'!F22</f>
        <v>0</v>
      </c>
      <c r="G51" s="495">
        <f>1*1/'ÄNDRINGSBARA PARAMETRAR'!G53*'ÄNDRINGSBARA PARAMETRAR'!G22</f>
        <v>0</v>
      </c>
      <c r="H51" s="495">
        <f>1*1/'ÄNDRINGSBARA PARAMETRAR'!H53*'ÄNDRINGSBARA PARAMETRAR'!H22</f>
        <v>0</v>
      </c>
      <c r="I51" s="495">
        <f>1*1/'ÄNDRINGSBARA PARAMETRAR'!I53*'ÄNDRINGSBARA PARAMETRAR'!I22</f>
        <v>0</v>
      </c>
      <c r="J51" s="495">
        <f>1*1/'ÄNDRINGSBARA PARAMETRAR'!J53*'ÄNDRINGSBARA PARAMETRAR'!J22</f>
        <v>0</v>
      </c>
      <c r="K51" s="495">
        <f>1*1/'ÄNDRINGSBARA PARAMETRAR'!K53*'ÄNDRINGSBARA PARAMETRAR'!K22</f>
        <v>0</v>
      </c>
      <c r="L51" s="495">
        <f>1*1/'ÄNDRINGSBARA PARAMETRAR'!L53*'ÄNDRINGSBARA PARAMETRAR'!L22</f>
        <v>0</v>
      </c>
      <c r="M51" s="496">
        <f>1*1/'ÄNDRINGSBARA PARAMETRAR'!M53*'ÄNDRINGSBARA PARAMETRAR'!M22</f>
        <v>0</v>
      </c>
      <c r="O51" s="22" t="str">
        <f t="shared" si="66"/>
        <v>Spillvärme industri</v>
      </c>
      <c r="P51" s="493">
        <f>1*1/'ÄNDRINGSBARA PARAMETRAR'!B53*'ÄNDRINGSBARA PARAMETRAR'!B37</f>
        <v>0</v>
      </c>
      <c r="Q51" s="493">
        <f>1*1/'ÄNDRINGSBARA PARAMETRAR'!C53*'ÄNDRINGSBARA PARAMETRAR'!C37</f>
        <v>0</v>
      </c>
      <c r="R51" s="493">
        <f>1*1/'ÄNDRINGSBARA PARAMETRAR'!D53*'ÄNDRINGSBARA PARAMETRAR'!D37</f>
        <v>0</v>
      </c>
      <c r="S51" s="493">
        <f>1*1/'ÄNDRINGSBARA PARAMETRAR'!E53*'ÄNDRINGSBARA PARAMETRAR'!E37</f>
        <v>0</v>
      </c>
      <c r="T51" s="493">
        <f>1*1/'ÄNDRINGSBARA PARAMETRAR'!F53*'ÄNDRINGSBARA PARAMETRAR'!F37</f>
        <v>0</v>
      </c>
      <c r="U51" s="493">
        <f>1*1/'ÄNDRINGSBARA PARAMETRAR'!G53*'ÄNDRINGSBARA PARAMETRAR'!G37</f>
        <v>0</v>
      </c>
      <c r="V51" s="493">
        <f>1*1/'ÄNDRINGSBARA PARAMETRAR'!H53*'ÄNDRINGSBARA PARAMETRAR'!H37</f>
        <v>0</v>
      </c>
      <c r="W51" s="493">
        <f>1*1/'ÄNDRINGSBARA PARAMETRAR'!I53*'ÄNDRINGSBARA PARAMETRAR'!I37</f>
        <v>0</v>
      </c>
      <c r="X51" s="493">
        <f>1*1/'ÄNDRINGSBARA PARAMETRAR'!J53*'ÄNDRINGSBARA PARAMETRAR'!J37</f>
        <v>0</v>
      </c>
      <c r="Y51" s="493">
        <f>1*1/'ÄNDRINGSBARA PARAMETRAR'!K53*'ÄNDRINGSBARA PARAMETRAR'!K37</f>
        <v>0</v>
      </c>
      <c r="Z51" s="493">
        <f>1*1/'ÄNDRINGSBARA PARAMETRAR'!L53*'ÄNDRINGSBARA PARAMETRAR'!L37</f>
        <v>0</v>
      </c>
      <c r="AA51" s="494">
        <f>1*1/'ÄNDRINGSBARA PARAMETRAR'!M53*'ÄNDRINGSBARA PARAMETRAR'!M37</f>
        <v>0</v>
      </c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</row>
    <row r="52" spans="1:59" s="296" customFormat="1" x14ac:dyDescent="0.2">
      <c r="A52" s="22" t="str">
        <f>INDATA!A64</f>
        <v>HVC Gas</v>
      </c>
      <c r="B52" s="497">
        <f>(1/'ÄNDRINGSBARA PARAMETRAR'!O54)/(1/'ÄNDRINGSBARA PARAMETRAR'!O54+'ÄNDRINGSBARA PARAMETRAR'!B69/'ÄNDRINGSBARA PARAMETRAR'!O69)*'ÄNDRINGSBARA PARAMETRAR'!B23</f>
        <v>248.4</v>
      </c>
      <c r="C52" s="497">
        <f>(1/'ÄNDRINGSBARA PARAMETRAR'!P54)/(1/'ÄNDRINGSBARA PARAMETRAR'!P54+'ÄNDRINGSBARA PARAMETRAR'!C69/'ÄNDRINGSBARA PARAMETRAR'!P69)*'ÄNDRINGSBARA PARAMETRAR'!C23</f>
        <v>248.4</v>
      </c>
      <c r="D52" s="497">
        <f>(1/'ÄNDRINGSBARA PARAMETRAR'!Q54)/(1/'ÄNDRINGSBARA PARAMETRAR'!Q54+'ÄNDRINGSBARA PARAMETRAR'!D69/'ÄNDRINGSBARA PARAMETRAR'!Q69)*'ÄNDRINGSBARA PARAMETRAR'!D23</f>
        <v>248.4</v>
      </c>
      <c r="E52" s="497">
        <f>(1/'ÄNDRINGSBARA PARAMETRAR'!R54)/(1/'ÄNDRINGSBARA PARAMETRAR'!R54+'ÄNDRINGSBARA PARAMETRAR'!E69/'ÄNDRINGSBARA PARAMETRAR'!R69)*'ÄNDRINGSBARA PARAMETRAR'!E23</f>
        <v>248.4</v>
      </c>
      <c r="F52" s="497">
        <f>(1/'ÄNDRINGSBARA PARAMETRAR'!S54)/(1/'ÄNDRINGSBARA PARAMETRAR'!S54+'ÄNDRINGSBARA PARAMETRAR'!F69/'ÄNDRINGSBARA PARAMETRAR'!S69)*'ÄNDRINGSBARA PARAMETRAR'!F23</f>
        <v>248.4</v>
      </c>
      <c r="G52" s="497">
        <f>(1/'ÄNDRINGSBARA PARAMETRAR'!T54)/(1/'ÄNDRINGSBARA PARAMETRAR'!T54+'ÄNDRINGSBARA PARAMETRAR'!G69/'ÄNDRINGSBARA PARAMETRAR'!T69)*'ÄNDRINGSBARA PARAMETRAR'!G23</f>
        <v>248.4</v>
      </c>
      <c r="H52" s="497">
        <f>(1/'ÄNDRINGSBARA PARAMETRAR'!U54)/(1/'ÄNDRINGSBARA PARAMETRAR'!U54+'ÄNDRINGSBARA PARAMETRAR'!H69/'ÄNDRINGSBARA PARAMETRAR'!U69)*'ÄNDRINGSBARA PARAMETRAR'!H23</f>
        <v>248.4</v>
      </c>
      <c r="I52" s="497">
        <f>(1/'ÄNDRINGSBARA PARAMETRAR'!V54)/(1/'ÄNDRINGSBARA PARAMETRAR'!V54+'ÄNDRINGSBARA PARAMETRAR'!I69/'ÄNDRINGSBARA PARAMETRAR'!V69)*'ÄNDRINGSBARA PARAMETRAR'!I23</f>
        <v>248.4</v>
      </c>
      <c r="J52" s="497">
        <f>(1/'ÄNDRINGSBARA PARAMETRAR'!W54)/(1/'ÄNDRINGSBARA PARAMETRAR'!W54+'ÄNDRINGSBARA PARAMETRAR'!J69/'ÄNDRINGSBARA PARAMETRAR'!W69)*'ÄNDRINGSBARA PARAMETRAR'!J23</f>
        <v>248.4</v>
      </c>
      <c r="K52" s="497">
        <f>(1/'ÄNDRINGSBARA PARAMETRAR'!X54)/(1/'ÄNDRINGSBARA PARAMETRAR'!X54+'ÄNDRINGSBARA PARAMETRAR'!K69/'ÄNDRINGSBARA PARAMETRAR'!X69)*'ÄNDRINGSBARA PARAMETRAR'!K23</f>
        <v>248.4</v>
      </c>
      <c r="L52" s="497">
        <f>(1/'ÄNDRINGSBARA PARAMETRAR'!Y54)/(1/'ÄNDRINGSBARA PARAMETRAR'!Y54+'ÄNDRINGSBARA PARAMETRAR'!L69/'ÄNDRINGSBARA PARAMETRAR'!Y69)*'ÄNDRINGSBARA PARAMETRAR'!L23</f>
        <v>248.4</v>
      </c>
      <c r="M52" s="497">
        <f>(1/'ÄNDRINGSBARA PARAMETRAR'!Z54)/(1/'ÄNDRINGSBARA PARAMETRAR'!Z54+'ÄNDRINGSBARA PARAMETRAR'!M69/'ÄNDRINGSBARA PARAMETRAR'!Z69)*'ÄNDRINGSBARA PARAMETRAR'!M23</f>
        <v>248.4</v>
      </c>
      <c r="O52" s="22" t="str">
        <f t="shared" si="66"/>
        <v>HVC Gas</v>
      </c>
      <c r="P52" s="486">
        <f>(1/'ÄNDRINGSBARA PARAMETRAR'!O54)/(1/'ÄNDRINGSBARA PARAMETRAR'!O54+'ÄNDRINGSBARA PARAMETRAR'!B69/'ÄNDRINGSBARA PARAMETRAR'!O69)*'ÄNDRINGSBARA PARAMETRAR'!B38</f>
        <v>1.0900000000000001</v>
      </c>
      <c r="Q52" s="486">
        <f>(1/'ÄNDRINGSBARA PARAMETRAR'!P54)/(1/'ÄNDRINGSBARA PARAMETRAR'!P54+'ÄNDRINGSBARA PARAMETRAR'!C69/'ÄNDRINGSBARA PARAMETRAR'!P69)*'ÄNDRINGSBARA PARAMETRAR'!C38</f>
        <v>1.0900000000000001</v>
      </c>
      <c r="R52" s="486">
        <f>(1/'ÄNDRINGSBARA PARAMETRAR'!Q54)/(1/'ÄNDRINGSBARA PARAMETRAR'!Q54+'ÄNDRINGSBARA PARAMETRAR'!D69/'ÄNDRINGSBARA PARAMETRAR'!Q69)*'ÄNDRINGSBARA PARAMETRAR'!D38</f>
        <v>1.0900000000000001</v>
      </c>
      <c r="S52" s="486">
        <f>(1/'ÄNDRINGSBARA PARAMETRAR'!R54)/(1/'ÄNDRINGSBARA PARAMETRAR'!R54+'ÄNDRINGSBARA PARAMETRAR'!E69/'ÄNDRINGSBARA PARAMETRAR'!R69)*'ÄNDRINGSBARA PARAMETRAR'!E38</f>
        <v>1.0900000000000001</v>
      </c>
      <c r="T52" s="486">
        <f>(1/'ÄNDRINGSBARA PARAMETRAR'!S54)/(1/'ÄNDRINGSBARA PARAMETRAR'!S54+'ÄNDRINGSBARA PARAMETRAR'!F69/'ÄNDRINGSBARA PARAMETRAR'!S69)*'ÄNDRINGSBARA PARAMETRAR'!F38</f>
        <v>1.0900000000000001</v>
      </c>
      <c r="U52" s="486">
        <f>(1/'ÄNDRINGSBARA PARAMETRAR'!T54)/(1/'ÄNDRINGSBARA PARAMETRAR'!T54+'ÄNDRINGSBARA PARAMETRAR'!G69/'ÄNDRINGSBARA PARAMETRAR'!T69)*'ÄNDRINGSBARA PARAMETRAR'!G38</f>
        <v>1.0900000000000001</v>
      </c>
      <c r="V52" s="486">
        <f>(1/'ÄNDRINGSBARA PARAMETRAR'!U54)/(1/'ÄNDRINGSBARA PARAMETRAR'!U54+'ÄNDRINGSBARA PARAMETRAR'!H69/'ÄNDRINGSBARA PARAMETRAR'!U69)*'ÄNDRINGSBARA PARAMETRAR'!H38</f>
        <v>1.0900000000000001</v>
      </c>
      <c r="W52" s="486">
        <f>(1/'ÄNDRINGSBARA PARAMETRAR'!V54)/(1/'ÄNDRINGSBARA PARAMETRAR'!V54+'ÄNDRINGSBARA PARAMETRAR'!I69/'ÄNDRINGSBARA PARAMETRAR'!V69)*'ÄNDRINGSBARA PARAMETRAR'!I38</f>
        <v>1.0900000000000001</v>
      </c>
      <c r="X52" s="486">
        <f>(1/'ÄNDRINGSBARA PARAMETRAR'!W54)/(1/'ÄNDRINGSBARA PARAMETRAR'!W54+'ÄNDRINGSBARA PARAMETRAR'!J69/'ÄNDRINGSBARA PARAMETRAR'!W69)*'ÄNDRINGSBARA PARAMETRAR'!J38</f>
        <v>1.0900000000000001</v>
      </c>
      <c r="Y52" s="486">
        <f>(1/'ÄNDRINGSBARA PARAMETRAR'!X54)/(1/'ÄNDRINGSBARA PARAMETRAR'!X54+'ÄNDRINGSBARA PARAMETRAR'!K69/'ÄNDRINGSBARA PARAMETRAR'!X69)*'ÄNDRINGSBARA PARAMETRAR'!K38</f>
        <v>1.0900000000000001</v>
      </c>
      <c r="Z52" s="486">
        <f>(1/'ÄNDRINGSBARA PARAMETRAR'!Y54)/(1/'ÄNDRINGSBARA PARAMETRAR'!Y54+'ÄNDRINGSBARA PARAMETRAR'!L69/'ÄNDRINGSBARA PARAMETRAR'!Y69)*'ÄNDRINGSBARA PARAMETRAR'!L38</f>
        <v>1.0900000000000001</v>
      </c>
      <c r="AA52" s="486">
        <f>(1/'ÄNDRINGSBARA PARAMETRAR'!Z54)/(1/'ÄNDRINGSBARA PARAMETRAR'!Z54+'ÄNDRINGSBARA PARAMETRAR'!M69/'ÄNDRINGSBARA PARAMETRAR'!Z69)*'ÄNDRINGSBARA PARAMETRAR'!M38</f>
        <v>1.0900000000000001</v>
      </c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</row>
    <row r="53" spans="1:59" s="296" customFormat="1" x14ac:dyDescent="0.2">
      <c r="A53" s="22" t="str">
        <f>INDATA!A65</f>
        <v>KVV Gas</v>
      </c>
      <c r="B53" s="497">
        <f>(1/'ÄNDRINGSBARA PARAMETRAR'!O55)/(1/'ÄNDRINGSBARA PARAMETRAR'!O55+'ÄNDRINGSBARA PARAMETRAR'!B70/'ÄNDRINGSBARA PARAMETRAR'!O70)*'ÄNDRINGSBARA PARAMETRAR'!B24</f>
        <v>125.59550561797754</v>
      </c>
      <c r="C53" s="497">
        <f>(1/'ÄNDRINGSBARA PARAMETRAR'!P55)/(1/'ÄNDRINGSBARA PARAMETRAR'!P55+'ÄNDRINGSBARA PARAMETRAR'!C70/'ÄNDRINGSBARA PARAMETRAR'!P70)*'ÄNDRINGSBARA PARAMETRAR'!C24</f>
        <v>125.59550561797754</v>
      </c>
      <c r="D53" s="497">
        <f>(1/'ÄNDRINGSBARA PARAMETRAR'!Q55)/(1/'ÄNDRINGSBARA PARAMETRAR'!Q55+'ÄNDRINGSBARA PARAMETRAR'!D70/'ÄNDRINGSBARA PARAMETRAR'!Q70)*'ÄNDRINGSBARA PARAMETRAR'!D24</f>
        <v>125.59550561797754</v>
      </c>
      <c r="E53" s="497">
        <f>(1/'ÄNDRINGSBARA PARAMETRAR'!R55)/(1/'ÄNDRINGSBARA PARAMETRAR'!R55+'ÄNDRINGSBARA PARAMETRAR'!E70/'ÄNDRINGSBARA PARAMETRAR'!R70)*'ÄNDRINGSBARA PARAMETRAR'!E24</f>
        <v>125.59550561797754</v>
      </c>
      <c r="F53" s="497">
        <f>(1/'ÄNDRINGSBARA PARAMETRAR'!S55)/(1/'ÄNDRINGSBARA PARAMETRAR'!S55+'ÄNDRINGSBARA PARAMETRAR'!F70/'ÄNDRINGSBARA PARAMETRAR'!S70)*'ÄNDRINGSBARA PARAMETRAR'!F24</f>
        <v>125.59550561797754</v>
      </c>
      <c r="G53" s="497">
        <f>(1/'ÄNDRINGSBARA PARAMETRAR'!T55)/(1/'ÄNDRINGSBARA PARAMETRAR'!T55+'ÄNDRINGSBARA PARAMETRAR'!G70/'ÄNDRINGSBARA PARAMETRAR'!T70)*'ÄNDRINGSBARA PARAMETRAR'!G24</f>
        <v>125.59550561797754</v>
      </c>
      <c r="H53" s="497">
        <f>(1/'ÄNDRINGSBARA PARAMETRAR'!U55)/(1/'ÄNDRINGSBARA PARAMETRAR'!U55+'ÄNDRINGSBARA PARAMETRAR'!H70/'ÄNDRINGSBARA PARAMETRAR'!U70)*'ÄNDRINGSBARA PARAMETRAR'!H24</f>
        <v>125.59550561797754</v>
      </c>
      <c r="I53" s="497">
        <f>(1/'ÄNDRINGSBARA PARAMETRAR'!V55)/(1/'ÄNDRINGSBARA PARAMETRAR'!V55+'ÄNDRINGSBARA PARAMETRAR'!I70/'ÄNDRINGSBARA PARAMETRAR'!V70)*'ÄNDRINGSBARA PARAMETRAR'!I24</f>
        <v>125.59550561797754</v>
      </c>
      <c r="J53" s="497">
        <f>(1/'ÄNDRINGSBARA PARAMETRAR'!W55)/(1/'ÄNDRINGSBARA PARAMETRAR'!W55+'ÄNDRINGSBARA PARAMETRAR'!J70/'ÄNDRINGSBARA PARAMETRAR'!W70)*'ÄNDRINGSBARA PARAMETRAR'!J24</f>
        <v>125.59550561797754</v>
      </c>
      <c r="K53" s="497">
        <f>(1/'ÄNDRINGSBARA PARAMETRAR'!X55)/(1/'ÄNDRINGSBARA PARAMETRAR'!X55+'ÄNDRINGSBARA PARAMETRAR'!K70/'ÄNDRINGSBARA PARAMETRAR'!X70)*'ÄNDRINGSBARA PARAMETRAR'!K24</f>
        <v>125.59550561797754</v>
      </c>
      <c r="L53" s="497">
        <f>(1/'ÄNDRINGSBARA PARAMETRAR'!Y55)/(1/'ÄNDRINGSBARA PARAMETRAR'!Y55+'ÄNDRINGSBARA PARAMETRAR'!L70/'ÄNDRINGSBARA PARAMETRAR'!Y70)*'ÄNDRINGSBARA PARAMETRAR'!L24</f>
        <v>125.59550561797754</v>
      </c>
      <c r="M53" s="497">
        <f>(1/'ÄNDRINGSBARA PARAMETRAR'!Z55)/(1/'ÄNDRINGSBARA PARAMETRAR'!Z55+'ÄNDRINGSBARA PARAMETRAR'!M70/'ÄNDRINGSBARA PARAMETRAR'!Z70)*'ÄNDRINGSBARA PARAMETRAR'!M24</f>
        <v>125.59550561797754</v>
      </c>
      <c r="O53" s="22" t="str">
        <f t="shared" si="66"/>
        <v>KVV Gas</v>
      </c>
      <c r="P53" s="486">
        <f>(1/'ÄNDRINGSBARA PARAMETRAR'!O55)/(1/'ÄNDRINGSBARA PARAMETRAR'!O55+'ÄNDRINGSBARA PARAMETRAR'!B70/'ÄNDRINGSBARA PARAMETRAR'!O70)*'ÄNDRINGSBARA PARAMETRAR'!B39</f>
        <v>0.55112359550561807</v>
      </c>
      <c r="Q53" s="486">
        <f>(1/'ÄNDRINGSBARA PARAMETRAR'!P55)/(1/'ÄNDRINGSBARA PARAMETRAR'!P55+'ÄNDRINGSBARA PARAMETRAR'!C70/'ÄNDRINGSBARA PARAMETRAR'!P70)*'ÄNDRINGSBARA PARAMETRAR'!C39</f>
        <v>0.55112359550561807</v>
      </c>
      <c r="R53" s="486">
        <f>(1/'ÄNDRINGSBARA PARAMETRAR'!Q55)/(1/'ÄNDRINGSBARA PARAMETRAR'!Q55+'ÄNDRINGSBARA PARAMETRAR'!D70/'ÄNDRINGSBARA PARAMETRAR'!Q70)*'ÄNDRINGSBARA PARAMETRAR'!D39</f>
        <v>0.55112359550561807</v>
      </c>
      <c r="S53" s="486">
        <f>(1/'ÄNDRINGSBARA PARAMETRAR'!R55)/(1/'ÄNDRINGSBARA PARAMETRAR'!R55+'ÄNDRINGSBARA PARAMETRAR'!E70/'ÄNDRINGSBARA PARAMETRAR'!R70)*'ÄNDRINGSBARA PARAMETRAR'!E39</f>
        <v>0.55112359550561807</v>
      </c>
      <c r="T53" s="486">
        <f>(1/'ÄNDRINGSBARA PARAMETRAR'!S55)/(1/'ÄNDRINGSBARA PARAMETRAR'!S55+'ÄNDRINGSBARA PARAMETRAR'!F70/'ÄNDRINGSBARA PARAMETRAR'!S70)*'ÄNDRINGSBARA PARAMETRAR'!F39</f>
        <v>0.55112359550561807</v>
      </c>
      <c r="U53" s="486">
        <f>(1/'ÄNDRINGSBARA PARAMETRAR'!T55)/(1/'ÄNDRINGSBARA PARAMETRAR'!T55+'ÄNDRINGSBARA PARAMETRAR'!G70/'ÄNDRINGSBARA PARAMETRAR'!T70)*'ÄNDRINGSBARA PARAMETRAR'!G39</f>
        <v>0.55112359550561807</v>
      </c>
      <c r="V53" s="486">
        <f>(1/'ÄNDRINGSBARA PARAMETRAR'!U55)/(1/'ÄNDRINGSBARA PARAMETRAR'!U55+'ÄNDRINGSBARA PARAMETRAR'!H70/'ÄNDRINGSBARA PARAMETRAR'!U70)*'ÄNDRINGSBARA PARAMETRAR'!H39</f>
        <v>0.55112359550561807</v>
      </c>
      <c r="W53" s="486">
        <f>(1/'ÄNDRINGSBARA PARAMETRAR'!V55)/(1/'ÄNDRINGSBARA PARAMETRAR'!V55+'ÄNDRINGSBARA PARAMETRAR'!I70/'ÄNDRINGSBARA PARAMETRAR'!V70)*'ÄNDRINGSBARA PARAMETRAR'!I39</f>
        <v>0.55112359550561807</v>
      </c>
      <c r="X53" s="486">
        <f>(1/'ÄNDRINGSBARA PARAMETRAR'!W55)/(1/'ÄNDRINGSBARA PARAMETRAR'!W55+'ÄNDRINGSBARA PARAMETRAR'!J70/'ÄNDRINGSBARA PARAMETRAR'!W70)*'ÄNDRINGSBARA PARAMETRAR'!J39</f>
        <v>0.55112359550561807</v>
      </c>
      <c r="Y53" s="486">
        <f>(1/'ÄNDRINGSBARA PARAMETRAR'!X55)/(1/'ÄNDRINGSBARA PARAMETRAR'!X55+'ÄNDRINGSBARA PARAMETRAR'!K70/'ÄNDRINGSBARA PARAMETRAR'!X70)*'ÄNDRINGSBARA PARAMETRAR'!K39</f>
        <v>0.55112359550561807</v>
      </c>
      <c r="Z53" s="486">
        <f>(1/'ÄNDRINGSBARA PARAMETRAR'!Y55)/(1/'ÄNDRINGSBARA PARAMETRAR'!Y55+'ÄNDRINGSBARA PARAMETRAR'!L70/'ÄNDRINGSBARA PARAMETRAR'!Y70)*'ÄNDRINGSBARA PARAMETRAR'!L39</f>
        <v>0.55112359550561807</v>
      </c>
      <c r="AA53" s="486">
        <f>(1/'ÄNDRINGSBARA PARAMETRAR'!Z55)/(1/'ÄNDRINGSBARA PARAMETRAR'!Z55+'ÄNDRINGSBARA PARAMETRAR'!M70/'ÄNDRINGSBARA PARAMETRAR'!Z70)*'ÄNDRINGSBARA PARAMETRAR'!M39</f>
        <v>0.55112359550561807</v>
      </c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</row>
    <row r="54" spans="1:59" s="296" customFormat="1" x14ac:dyDescent="0.2">
      <c r="A54" s="22" t="str">
        <f>INDATA!A66</f>
        <v>Valfri 3</v>
      </c>
      <c r="B54" s="497">
        <f>(1/'ÄNDRINGSBARA PARAMETRAR'!O56)/(1/'ÄNDRINGSBARA PARAMETRAR'!O56+'ÄNDRINGSBARA PARAMETRAR'!B71/'ÄNDRINGSBARA PARAMETRAR'!O71)*'ÄNDRINGSBARA PARAMETRAR'!B25</f>
        <v>0</v>
      </c>
      <c r="C54" s="497">
        <f>(1/'ÄNDRINGSBARA PARAMETRAR'!P56)/(1/'ÄNDRINGSBARA PARAMETRAR'!P56+'ÄNDRINGSBARA PARAMETRAR'!C71/'ÄNDRINGSBARA PARAMETRAR'!P71)*'ÄNDRINGSBARA PARAMETRAR'!C25</f>
        <v>0</v>
      </c>
      <c r="D54" s="497">
        <f>(1/'ÄNDRINGSBARA PARAMETRAR'!Q56)/(1/'ÄNDRINGSBARA PARAMETRAR'!Q56+'ÄNDRINGSBARA PARAMETRAR'!D71/'ÄNDRINGSBARA PARAMETRAR'!Q71)*'ÄNDRINGSBARA PARAMETRAR'!D25</f>
        <v>0</v>
      </c>
      <c r="E54" s="497">
        <f>(1/'ÄNDRINGSBARA PARAMETRAR'!R56)/(1/'ÄNDRINGSBARA PARAMETRAR'!R56+'ÄNDRINGSBARA PARAMETRAR'!E71/'ÄNDRINGSBARA PARAMETRAR'!R71)*'ÄNDRINGSBARA PARAMETRAR'!E25</f>
        <v>0</v>
      </c>
      <c r="F54" s="497">
        <f>(1/'ÄNDRINGSBARA PARAMETRAR'!S56)/(1/'ÄNDRINGSBARA PARAMETRAR'!S56+'ÄNDRINGSBARA PARAMETRAR'!F71/'ÄNDRINGSBARA PARAMETRAR'!S71)*'ÄNDRINGSBARA PARAMETRAR'!F25</f>
        <v>0</v>
      </c>
      <c r="G54" s="497">
        <f>(1/'ÄNDRINGSBARA PARAMETRAR'!T56)/(1/'ÄNDRINGSBARA PARAMETRAR'!T56+'ÄNDRINGSBARA PARAMETRAR'!G71/'ÄNDRINGSBARA PARAMETRAR'!T71)*'ÄNDRINGSBARA PARAMETRAR'!G25</f>
        <v>0</v>
      </c>
      <c r="H54" s="497">
        <f>(1/'ÄNDRINGSBARA PARAMETRAR'!U56)/(1/'ÄNDRINGSBARA PARAMETRAR'!U56+'ÄNDRINGSBARA PARAMETRAR'!H71/'ÄNDRINGSBARA PARAMETRAR'!U71)*'ÄNDRINGSBARA PARAMETRAR'!H25</f>
        <v>0</v>
      </c>
      <c r="I54" s="497">
        <f>(1/'ÄNDRINGSBARA PARAMETRAR'!V56)/(1/'ÄNDRINGSBARA PARAMETRAR'!V56+'ÄNDRINGSBARA PARAMETRAR'!I71/'ÄNDRINGSBARA PARAMETRAR'!V71)*'ÄNDRINGSBARA PARAMETRAR'!I25</f>
        <v>0</v>
      </c>
      <c r="J54" s="497">
        <f>(1/'ÄNDRINGSBARA PARAMETRAR'!W56)/(1/'ÄNDRINGSBARA PARAMETRAR'!W56+'ÄNDRINGSBARA PARAMETRAR'!J71/'ÄNDRINGSBARA PARAMETRAR'!W71)*'ÄNDRINGSBARA PARAMETRAR'!J25</f>
        <v>0</v>
      </c>
      <c r="K54" s="497">
        <f>(1/'ÄNDRINGSBARA PARAMETRAR'!X56)/(1/'ÄNDRINGSBARA PARAMETRAR'!X56+'ÄNDRINGSBARA PARAMETRAR'!K71/'ÄNDRINGSBARA PARAMETRAR'!X71)*'ÄNDRINGSBARA PARAMETRAR'!K25</f>
        <v>0</v>
      </c>
      <c r="L54" s="497">
        <f>(1/'ÄNDRINGSBARA PARAMETRAR'!Y56)/(1/'ÄNDRINGSBARA PARAMETRAR'!Y56+'ÄNDRINGSBARA PARAMETRAR'!L71/'ÄNDRINGSBARA PARAMETRAR'!Y71)*'ÄNDRINGSBARA PARAMETRAR'!L25</f>
        <v>0</v>
      </c>
      <c r="M54" s="497">
        <f>(1/'ÄNDRINGSBARA PARAMETRAR'!Z56)/(1/'ÄNDRINGSBARA PARAMETRAR'!Z56+'ÄNDRINGSBARA PARAMETRAR'!M71/'ÄNDRINGSBARA PARAMETRAR'!Z71)*'ÄNDRINGSBARA PARAMETRAR'!M25</f>
        <v>0</v>
      </c>
      <c r="O54" s="22" t="str">
        <f t="shared" si="66"/>
        <v>Valfri 3</v>
      </c>
      <c r="P54" s="486">
        <f>(1/'ÄNDRINGSBARA PARAMETRAR'!O56)/(1/'ÄNDRINGSBARA PARAMETRAR'!O56+'ÄNDRINGSBARA PARAMETRAR'!B71/'ÄNDRINGSBARA PARAMETRAR'!O71)*'ÄNDRINGSBARA PARAMETRAR'!B40</f>
        <v>0</v>
      </c>
      <c r="Q54" s="486">
        <f>(1/'ÄNDRINGSBARA PARAMETRAR'!P56)/(1/'ÄNDRINGSBARA PARAMETRAR'!P56+'ÄNDRINGSBARA PARAMETRAR'!C71/'ÄNDRINGSBARA PARAMETRAR'!P71)*'ÄNDRINGSBARA PARAMETRAR'!C40</f>
        <v>0</v>
      </c>
      <c r="R54" s="486">
        <f>(1/'ÄNDRINGSBARA PARAMETRAR'!Q56)/(1/'ÄNDRINGSBARA PARAMETRAR'!Q56+'ÄNDRINGSBARA PARAMETRAR'!D71/'ÄNDRINGSBARA PARAMETRAR'!Q71)*'ÄNDRINGSBARA PARAMETRAR'!D40</f>
        <v>0</v>
      </c>
      <c r="S54" s="486">
        <f>(1/'ÄNDRINGSBARA PARAMETRAR'!R56)/(1/'ÄNDRINGSBARA PARAMETRAR'!R56+'ÄNDRINGSBARA PARAMETRAR'!E71/'ÄNDRINGSBARA PARAMETRAR'!R71)*'ÄNDRINGSBARA PARAMETRAR'!E40</f>
        <v>0</v>
      </c>
      <c r="T54" s="486">
        <f>(1/'ÄNDRINGSBARA PARAMETRAR'!S56)/(1/'ÄNDRINGSBARA PARAMETRAR'!S56+'ÄNDRINGSBARA PARAMETRAR'!F71/'ÄNDRINGSBARA PARAMETRAR'!S71)*'ÄNDRINGSBARA PARAMETRAR'!F40</f>
        <v>0</v>
      </c>
      <c r="U54" s="486">
        <f>(1/'ÄNDRINGSBARA PARAMETRAR'!T56)/(1/'ÄNDRINGSBARA PARAMETRAR'!T56+'ÄNDRINGSBARA PARAMETRAR'!G71/'ÄNDRINGSBARA PARAMETRAR'!T71)*'ÄNDRINGSBARA PARAMETRAR'!G40</f>
        <v>0</v>
      </c>
      <c r="V54" s="486">
        <f>(1/'ÄNDRINGSBARA PARAMETRAR'!U56)/(1/'ÄNDRINGSBARA PARAMETRAR'!U56+'ÄNDRINGSBARA PARAMETRAR'!H71/'ÄNDRINGSBARA PARAMETRAR'!U71)*'ÄNDRINGSBARA PARAMETRAR'!H40</f>
        <v>0</v>
      </c>
      <c r="W54" s="486">
        <f>(1/'ÄNDRINGSBARA PARAMETRAR'!V56)/(1/'ÄNDRINGSBARA PARAMETRAR'!V56+'ÄNDRINGSBARA PARAMETRAR'!I71/'ÄNDRINGSBARA PARAMETRAR'!V71)*'ÄNDRINGSBARA PARAMETRAR'!I40</f>
        <v>0</v>
      </c>
      <c r="X54" s="486">
        <f>(1/'ÄNDRINGSBARA PARAMETRAR'!W56)/(1/'ÄNDRINGSBARA PARAMETRAR'!W56+'ÄNDRINGSBARA PARAMETRAR'!J71/'ÄNDRINGSBARA PARAMETRAR'!W71)*'ÄNDRINGSBARA PARAMETRAR'!J40</f>
        <v>0</v>
      </c>
      <c r="Y54" s="486">
        <f>(1/'ÄNDRINGSBARA PARAMETRAR'!X56)/(1/'ÄNDRINGSBARA PARAMETRAR'!X56+'ÄNDRINGSBARA PARAMETRAR'!K71/'ÄNDRINGSBARA PARAMETRAR'!X71)*'ÄNDRINGSBARA PARAMETRAR'!K40</f>
        <v>0</v>
      </c>
      <c r="Z54" s="486">
        <f>(1/'ÄNDRINGSBARA PARAMETRAR'!Y56)/(1/'ÄNDRINGSBARA PARAMETRAR'!Y56+'ÄNDRINGSBARA PARAMETRAR'!L71/'ÄNDRINGSBARA PARAMETRAR'!Y71)*'ÄNDRINGSBARA PARAMETRAR'!L40</f>
        <v>0</v>
      </c>
      <c r="AA54" s="486">
        <f>(1/'ÄNDRINGSBARA PARAMETRAR'!Z56)/(1/'ÄNDRINGSBARA PARAMETRAR'!Z56+'ÄNDRINGSBARA PARAMETRAR'!M71/'ÄNDRINGSBARA PARAMETRAR'!Z71)*'ÄNDRINGSBARA PARAMETRAR'!M40</f>
        <v>0</v>
      </c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</row>
    <row r="55" spans="1:59" s="296" customFormat="1" x14ac:dyDescent="0.2">
      <c r="R55" s="27"/>
      <c r="S55" s="27"/>
      <c r="T55" s="27"/>
      <c r="U55" s="27"/>
      <c r="V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</row>
    <row r="56" spans="1:59" s="296" customFormat="1" x14ac:dyDescent="0.2">
      <c r="A56" s="81" t="s">
        <v>359</v>
      </c>
      <c r="B56" s="346"/>
      <c r="C56" s="346"/>
      <c r="D56" s="346"/>
      <c r="E56" s="346"/>
      <c r="F56" s="346"/>
      <c r="G56" s="346"/>
      <c r="H56" s="346"/>
      <c r="I56" s="346"/>
      <c r="J56" s="346"/>
      <c r="K56" s="346"/>
      <c r="L56" s="346"/>
      <c r="M56" s="347"/>
      <c r="O56" s="81" t="s">
        <v>360</v>
      </c>
      <c r="P56" s="346"/>
      <c r="Q56" s="346"/>
      <c r="R56" s="346"/>
      <c r="S56" s="346"/>
      <c r="T56" s="346"/>
      <c r="U56" s="346"/>
      <c r="V56" s="346"/>
      <c r="W56" s="346"/>
      <c r="X56" s="346"/>
      <c r="Y56" s="346"/>
      <c r="Z56" s="346"/>
      <c r="AA56" s="34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</row>
    <row r="57" spans="1:59" s="296" customFormat="1" x14ac:dyDescent="0.2">
      <c r="A57" s="53" t="s">
        <v>19</v>
      </c>
      <c r="B57" s="286" t="s">
        <v>20</v>
      </c>
      <c r="C57" s="286" t="s">
        <v>21</v>
      </c>
      <c r="D57" s="286" t="s">
        <v>22</v>
      </c>
      <c r="E57" s="286" t="s">
        <v>23</v>
      </c>
      <c r="F57" s="286" t="s">
        <v>24</v>
      </c>
      <c r="G57" s="286" t="s">
        <v>25</v>
      </c>
      <c r="H57" s="286" t="s">
        <v>26</v>
      </c>
      <c r="I57" s="286" t="s">
        <v>27</v>
      </c>
      <c r="J57" s="286" t="s">
        <v>28</v>
      </c>
      <c r="K57" s="286" t="s">
        <v>29</v>
      </c>
      <c r="L57" s="286" t="s">
        <v>30</v>
      </c>
      <c r="M57" s="286" t="s">
        <v>31</v>
      </c>
      <c r="O57" s="53" t="s">
        <v>19</v>
      </c>
      <c r="P57" s="286" t="s">
        <v>20</v>
      </c>
      <c r="Q57" s="286" t="s">
        <v>21</v>
      </c>
      <c r="R57" s="286" t="s">
        <v>22</v>
      </c>
      <c r="S57" s="286" t="s">
        <v>23</v>
      </c>
      <c r="T57" s="286" t="s">
        <v>24</v>
      </c>
      <c r="U57" s="286" t="s">
        <v>25</v>
      </c>
      <c r="V57" s="286" t="s">
        <v>26</v>
      </c>
      <c r="W57" s="286" t="s">
        <v>27</v>
      </c>
      <c r="X57" s="286" t="s">
        <v>28</v>
      </c>
      <c r="Y57" s="286" t="s">
        <v>29</v>
      </c>
      <c r="Z57" s="286" t="s">
        <v>30</v>
      </c>
      <c r="AA57" s="286" t="s">
        <v>31</v>
      </c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</row>
    <row r="58" spans="1:59" s="296" customFormat="1" x14ac:dyDescent="0.2">
      <c r="A58" s="22" t="str">
        <f>INDATA!A57</f>
        <v>HVC EO1</v>
      </c>
      <c r="B58" s="492">
        <f>1*1/'ÄNDRINGSBARA PARAMETRAR'!B47*'ÄNDRINGSBARA PARAMETRAR'!B16</f>
        <v>338.8235294117647</v>
      </c>
      <c r="C58" s="492">
        <f>1*1/'ÄNDRINGSBARA PARAMETRAR'!C47*'ÄNDRINGSBARA PARAMETRAR'!C16</f>
        <v>338.8235294117647</v>
      </c>
      <c r="D58" s="492">
        <f>1*1/'ÄNDRINGSBARA PARAMETRAR'!D47*'ÄNDRINGSBARA PARAMETRAR'!D16</f>
        <v>338.8235294117647</v>
      </c>
      <c r="E58" s="492">
        <f>1*1/'ÄNDRINGSBARA PARAMETRAR'!E47*'ÄNDRINGSBARA PARAMETRAR'!E16</f>
        <v>338.8235294117647</v>
      </c>
      <c r="F58" s="492">
        <f>1*1/'ÄNDRINGSBARA PARAMETRAR'!F47*'ÄNDRINGSBARA PARAMETRAR'!F16</f>
        <v>338.8235294117647</v>
      </c>
      <c r="G58" s="492">
        <f>1*1/'ÄNDRINGSBARA PARAMETRAR'!G47*'ÄNDRINGSBARA PARAMETRAR'!G16</f>
        <v>338.8235294117647</v>
      </c>
      <c r="H58" s="492">
        <f>1*1/'ÄNDRINGSBARA PARAMETRAR'!H47*'ÄNDRINGSBARA PARAMETRAR'!H16</f>
        <v>338.8235294117647</v>
      </c>
      <c r="I58" s="492">
        <f>1*1/'ÄNDRINGSBARA PARAMETRAR'!I47*'ÄNDRINGSBARA PARAMETRAR'!I16</f>
        <v>338.8235294117647</v>
      </c>
      <c r="J58" s="492">
        <f>1*1/'ÄNDRINGSBARA PARAMETRAR'!J47*'ÄNDRINGSBARA PARAMETRAR'!J16</f>
        <v>338.8235294117647</v>
      </c>
      <c r="K58" s="492">
        <f>1*1/'ÄNDRINGSBARA PARAMETRAR'!K47*'ÄNDRINGSBARA PARAMETRAR'!K16</f>
        <v>338.8235294117647</v>
      </c>
      <c r="L58" s="492">
        <f>1*1/'ÄNDRINGSBARA PARAMETRAR'!L47*'ÄNDRINGSBARA PARAMETRAR'!L16</f>
        <v>338.8235294117647</v>
      </c>
      <c r="M58" s="498">
        <f>1*1/'ÄNDRINGSBARA PARAMETRAR'!M47*'ÄNDRINGSBARA PARAMETRAR'!M16</f>
        <v>338.8235294117647</v>
      </c>
      <c r="O58" s="22" t="str">
        <f>A58</f>
        <v>HVC EO1</v>
      </c>
      <c r="P58" s="493">
        <f>1*1/'ÄNDRINGSBARA PARAMETRAR'!B47*'ÄNDRINGSBARA PARAMETRAR'!B31</f>
        <v>1.3058823529411767</v>
      </c>
      <c r="Q58" s="493">
        <f>1*1/'ÄNDRINGSBARA PARAMETRAR'!C47*'ÄNDRINGSBARA PARAMETRAR'!C31</f>
        <v>1.3058823529411767</v>
      </c>
      <c r="R58" s="493">
        <f>1*1/'ÄNDRINGSBARA PARAMETRAR'!D47*'ÄNDRINGSBARA PARAMETRAR'!D31</f>
        <v>1.3058823529411767</v>
      </c>
      <c r="S58" s="493">
        <f>1*1/'ÄNDRINGSBARA PARAMETRAR'!E47*'ÄNDRINGSBARA PARAMETRAR'!E31</f>
        <v>1.3058823529411767</v>
      </c>
      <c r="T58" s="493">
        <f>1*1/'ÄNDRINGSBARA PARAMETRAR'!F47*'ÄNDRINGSBARA PARAMETRAR'!F31</f>
        <v>1.3058823529411767</v>
      </c>
      <c r="U58" s="493">
        <f>1*1/'ÄNDRINGSBARA PARAMETRAR'!G47*'ÄNDRINGSBARA PARAMETRAR'!G31</f>
        <v>1.3058823529411767</v>
      </c>
      <c r="V58" s="493">
        <f>1*1/'ÄNDRINGSBARA PARAMETRAR'!H47*'ÄNDRINGSBARA PARAMETRAR'!H31</f>
        <v>1.3058823529411767</v>
      </c>
      <c r="W58" s="493">
        <f>1*1/'ÄNDRINGSBARA PARAMETRAR'!I47*'ÄNDRINGSBARA PARAMETRAR'!I31</f>
        <v>1.3058823529411767</v>
      </c>
      <c r="X58" s="493">
        <f>1*1/'ÄNDRINGSBARA PARAMETRAR'!J47*'ÄNDRINGSBARA PARAMETRAR'!J31</f>
        <v>1.3058823529411767</v>
      </c>
      <c r="Y58" s="493">
        <f>1*1/'ÄNDRINGSBARA PARAMETRAR'!K47*'ÄNDRINGSBARA PARAMETRAR'!K31</f>
        <v>1.3058823529411767</v>
      </c>
      <c r="Z58" s="493">
        <f>1*1/'ÄNDRINGSBARA PARAMETRAR'!L47*'ÄNDRINGSBARA PARAMETRAR'!L31</f>
        <v>1.3058823529411767</v>
      </c>
      <c r="AA58" s="494">
        <f>1*1/'ÄNDRINGSBARA PARAMETRAR'!M47*'ÄNDRINGSBARA PARAMETRAR'!M31</f>
        <v>1.3058823529411767</v>
      </c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</row>
    <row r="59" spans="1:59" s="296" customFormat="1" x14ac:dyDescent="0.2">
      <c r="A59" s="22" t="str">
        <f>INDATA!A58</f>
        <v>HVC bioolja</v>
      </c>
      <c r="B59" s="492">
        <f>1*1/'ÄNDRINGSBARA PARAMETRAR'!B48*'ÄNDRINGSBARA PARAMETRAR'!B17</f>
        <v>0.80000000000000016</v>
      </c>
      <c r="C59" s="492">
        <f>1*1/'ÄNDRINGSBARA PARAMETRAR'!C48*'ÄNDRINGSBARA PARAMETRAR'!C17</f>
        <v>0.80000000000000016</v>
      </c>
      <c r="D59" s="492">
        <f>1*1/'ÄNDRINGSBARA PARAMETRAR'!D48*'ÄNDRINGSBARA PARAMETRAR'!D17</f>
        <v>0.80000000000000016</v>
      </c>
      <c r="E59" s="492">
        <f>1*1/'ÄNDRINGSBARA PARAMETRAR'!E48*'ÄNDRINGSBARA PARAMETRAR'!E17</f>
        <v>0.80000000000000016</v>
      </c>
      <c r="F59" s="492">
        <f>1*1/'ÄNDRINGSBARA PARAMETRAR'!F48*'ÄNDRINGSBARA PARAMETRAR'!F17</f>
        <v>0.80000000000000016</v>
      </c>
      <c r="G59" s="492">
        <f>1*1/'ÄNDRINGSBARA PARAMETRAR'!G48*'ÄNDRINGSBARA PARAMETRAR'!G17</f>
        <v>0.80000000000000016</v>
      </c>
      <c r="H59" s="492">
        <f>1*1/'ÄNDRINGSBARA PARAMETRAR'!H48*'ÄNDRINGSBARA PARAMETRAR'!H17</f>
        <v>0.80000000000000016</v>
      </c>
      <c r="I59" s="492">
        <f>1*1/'ÄNDRINGSBARA PARAMETRAR'!I48*'ÄNDRINGSBARA PARAMETRAR'!I17</f>
        <v>0.80000000000000016</v>
      </c>
      <c r="J59" s="492">
        <f>1*1/'ÄNDRINGSBARA PARAMETRAR'!J48*'ÄNDRINGSBARA PARAMETRAR'!J17</f>
        <v>0.80000000000000016</v>
      </c>
      <c r="K59" s="492">
        <f>1*1/'ÄNDRINGSBARA PARAMETRAR'!K48*'ÄNDRINGSBARA PARAMETRAR'!K17</f>
        <v>0.80000000000000016</v>
      </c>
      <c r="L59" s="492">
        <f>1*1/'ÄNDRINGSBARA PARAMETRAR'!L48*'ÄNDRINGSBARA PARAMETRAR'!L17</f>
        <v>0.80000000000000016</v>
      </c>
      <c r="M59" s="498">
        <f>1*1/'ÄNDRINGSBARA PARAMETRAR'!M48*'ÄNDRINGSBARA PARAMETRAR'!M17</f>
        <v>0.80000000000000016</v>
      </c>
      <c r="O59" s="22" t="str">
        <f t="shared" ref="O59:O67" si="67">A59</f>
        <v>HVC bioolja</v>
      </c>
      <c r="P59" s="493">
        <f>1*1/'ÄNDRINGSBARA PARAMETRAR'!B48*'ÄNDRINGSBARA PARAMETRAR'!B32</f>
        <v>4.4444444444444446E-2</v>
      </c>
      <c r="Q59" s="493">
        <f>1*1/'ÄNDRINGSBARA PARAMETRAR'!C48*'ÄNDRINGSBARA PARAMETRAR'!C32</f>
        <v>4.4444444444444446E-2</v>
      </c>
      <c r="R59" s="493">
        <f>1*1/'ÄNDRINGSBARA PARAMETRAR'!D48*'ÄNDRINGSBARA PARAMETRAR'!D32</f>
        <v>4.4444444444444446E-2</v>
      </c>
      <c r="S59" s="493">
        <f>1*1/'ÄNDRINGSBARA PARAMETRAR'!E48*'ÄNDRINGSBARA PARAMETRAR'!E32</f>
        <v>4.4444444444444446E-2</v>
      </c>
      <c r="T59" s="493">
        <f>1*1/'ÄNDRINGSBARA PARAMETRAR'!F48*'ÄNDRINGSBARA PARAMETRAR'!F32</f>
        <v>4.4444444444444446E-2</v>
      </c>
      <c r="U59" s="493">
        <f>1*1/'ÄNDRINGSBARA PARAMETRAR'!G48*'ÄNDRINGSBARA PARAMETRAR'!G32</f>
        <v>4.4444444444444446E-2</v>
      </c>
      <c r="V59" s="493">
        <f>1*1/'ÄNDRINGSBARA PARAMETRAR'!H48*'ÄNDRINGSBARA PARAMETRAR'!H32</f>
        <v>4.4444444444444446E-2</v>
      </c>
      <c r="W59" s="493">
        <f>1*1/'ÄNDRINGSBARA PARAMETRAR'!I48*'ÄNDRINGSBARA PARAMETRAR'!I32</f>
        <v>4.4444444444444446E-2</v>
      </c>
      <c r="X59" s="493">
        <f>1*1/'ÄNDRINGSBARA PARAMETRAR'!J48*'ÄNDRINGSBARA PARAMETRAR'!J32</f>
        <v>4.4444444444444446E-2</v>
      </c>
      <c r="Y59" s="493">
        <f>1*1/'ÄNDRINGSBARA PARAMETRAR'!K48*'ÄNDRINGSBARA PARAMETRAR'!K32</f>
        <v>4.4444444444444446E-2</v>
      </c>
      <c r="Z59" s="493">
        <f>1*1/'ÄNDRINGSBARA PARAMETRAR'!L48*'ÄNDRINGSBARA PARAMETRAR'!L32</f>
        <v>4.4444444444444446E-2</v>
      </c>
      <c r="AA59" s="494">
        <f>1*1/'ÄNDRINGSBARA PARAMETRAR'!M48*'ÄNDRINGSBARA PARAMETRAR'!M32</f>
        <v>4.4444444444444446E-2</v>
      </c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</row>
    <row r="60" spans="1:59" s="296" customFormat="1" x14ac:dyDescent="0.2">
      <c r="A60" s="22" t="str">
        <f>INDATA!A59</f>
        <v>HVC pellets</v>
      </c>
      <c r="B60" s="492">
        <f>1*1/'ÄNDRINGSBARA PARAMETRAR'!B49*'ÄNDRINGSBARA PARAMETRAR'!B18</f>
        <v>9.9</v>
      </c>
      <c r="C60" s="492">
        <f>1*1/'ÄNDRINGSBARA PARAMETRAR'!C49*'ÄNDRINGSBARA PARAMETRAR'!C18</f>
        <v>9.9</v>
      </c>
      <c r="D60" s="492">
        <f>1*1/'ÄNDRINGSBARA PARAMETRAR'!D49*'ÄNDRINGSBARA PARAMETRAR'!D18</f>
        <v>9.9</v>
      </c>
      <c r="E60" s="492">
        <f>1*1/'ÄNDRINGSBARA PARAMETRAR'!E49*'ÄNDRINGSBARA PARAMETRAR'!E18</f>
        <v>9.9</v>
      </c>
      <c r="F60" s="492">
        <f>1*1/'ÄNDRINGSBARA PARAMETRAR'!F49*'ÄNDRINGSBARA PARAMETRAR'!F18</f>
        <v>9.9</v>
      </c>
      <c r="G60" s="492">
        <f>1*1/'ÄNDRINGSBARA PARAMETRAR'!G49*'ÄNDRINGSBARA PARAMETRAR'!G18</f>
        <v>9.9</v>
      </c>
      <c r="H60" s="492">
        <f>1*1/'ÄNDRINGSBARA PARAMETRAR'!H49*'ÄNDRINGSBARA PARAMETRAR'!H18</f>
        <v>9.9</v>
      </c>
      <c r="I60" s="492">
        <f>1*1/'ÄNDRINGSBARA PARAMETRAR'!I49*'ÄNDRINGSBARA PARAMETRAR'!I18</f>
        <v>9.9</v>
      </c>
      <c r="J60" s="492">
        <f>1*1/'ÄNDRINGSBARA PARAMETRAR'!J49*'ÄNDRINGSBARA PARAMETRAR'!J18</f>
        <v>9.9</v>
      </c>
      <c r="K60" s="492">
        <f>1*1/'ÄNDRINGSBARA PARAMETRAR'!K49*'ÄNDRINGSBARA PARAMETRAR'!K18</f>
        <v>9.9</v>
      </c>
      <c r="L60" s="492">
        <f>1*1/'ÄNDRINGSBARA PARAMETRAR'!L49*'ÄNDRINGSBARA PARAMETRAR'!L18</f>
        <v>9.9</v>
      </c>
      <c r="M60" s="498">
        <f>1*1/'ÄNDRINGSBARA PARAMETRAR'!M49*'ÄNDRINGSBARA PARAMETRAR'!M18</f>
        <v>9.9</v>
      </c>
      <c r="O60" s="22" t="str">
        <f t="shared" si="67"/>
        <v>HVC pellets</v>
      </c>
      <c r="P60" s="493">
        <f>1*1/'ÄNDRINGSBARA PARAMETRAR'!B49*'ÄNDRINGSBARA PARAMETRAR'!B33</f>
        <v>1.3875000000000002</v>
      </c>
      <c r="Q60" s="493">
        <f>1*1/'ÄNDRINGSBARA PARAMETRAR'!C49*'ÄNDRINGSBARA PARAMETRAR'!C33</f>
        <v>1.3875000000000002</v>
      </c>
      <c r="R60" s="493">
        <f>1*1/'ÄNDRINGSBARA PARAMETRAR'!D49*'ÄNDRINGSBARA PARAMETRAR'!D33</f>
        <v>1.3875000000000002</v>
      </c>
      <c r="S60" s="493">
        <f>1*1/'ÄNDRINGSBARA PARAMETRAR'!E49*'ÄNDRINGSBARA PARAMETRAR'!E33</f>
        <v>1.3875000000000002</v>
      </c>
      <c r="T60" s="493">
        <f>1*1/'ÄNDRINGSBARA PARAMETRAR'!F49*'ÄNDRINGSBARA PARAMETRAR'!F33</f>
        <v>1.3875000000000002</v>
      </c>
      <c r="U60" s="493">
        <f>1*1/'ÄNDRINGSBARA PARAMETRAR'!G49*'ÄNDRINGSBARA PARAMETRAR'!G33</f>
        <v>1.3875000000000002</v>
      </c>
      <c r="V60" s="493">
        <f>1*1/'ÄNDRINGSBARA PARAMETRAR'!H49*'ÄNDRINGSBARA PARAMETRAR'!H33</f>
        <v>1.3875000000000002</v>
      </c>
      <c r="W60" s="493">
        <f>1*1/'ÄNDRINGSBARA PARAMETRAR'!I49*'ÄNDRINGSBARA PARAMETRAR'!I33</f>
        <v>1.3875000000000002</v>
      </c>
      <c r="X60" s="493">
        <f>1*1/'ÄNDRINGSBARA PARAMETRAR'!J49*'ÄNDRINGSBARA PARAMETRAR'!J33</f>
        <v>1.3875000000000002</v>
      </c>
      <c r="Y60" s="493">
        <f>1*1/'ÄNDRINGSBARA PARAMETRAR'!K49*'ÄNDRINGSBARA PARAMETRAR'!K33</f>
        <v>1.3875000000000002</v>
      </c>
      <c r="Z60" s="493">
        <f>1*1/'ÄNDRINGSBARA PARAMETRAR'!L49*'ÄNDRINGSBARA PARAMETRAR'!L33</f>
        <v>1.3875000000000002</v>
      </c>
      <c r="AA60" s="494">
        <f>1*1/'ÄNDRINGSBARA PARAMETRAR'!M49*'ÄNDRINGSBARA PARAMETRAR'!M33</f>
        <v>1.3875000000000002</v>
      </c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</row>
    <row r="61" spans="1:59" s="296" customFormat="1" x14ac:dyDescent="0.2">
      <c r="A61" s="22" t="str">
        <f>INDATA!A60</f>
        <v>KVV avfall</v>
      </c>
      <c r="B61" s="486">
        <f>1/(1+'ÄNDRINGSBARA PARAMETRAR'!B65)*'ÄNDRINGSBARA PARAMETRAR'!B19</f>
        <v>97.714285714285722</v>
      </c>
      <c r="C61" s="486">
        <f>1/(1+'ÄNDRINGSBARA PARAMETRAR'!C65)*'ÄNDRINGSBARA PARAMETRAR'!C19</f>
        <v>97.714285714285722</v>
      </c>
      <c r="D61" s="486">
        <f>1/(1+'ÄNDRINGSBARA PARAMETRAR'!D65)*'ÄNDRINGSBARA PARAMETRAR'!D19</f>
        <v>97.714285714285722</v>
      </c>
      <c r="E61" s="486">
        <f>1/(1+'ÄNDRINGSBARA PARAMETRAR'!E65)*'ÄNDRINGSBARA PARAMETRAR'!E19</f>
        <v>97.714285714285722</v>
      </c>
      <c r="F61" s="486">
        <f>1/(1+'ÄNDRINGSBARA PARAMETRAR'!F65)*'ÄNDRINGSBARA PARAMETRAR'!F19</f>
        <v>97.714285714285722</v>
      </c>
      <c r="G61" s="486">
        <f>1/(1+'ÄNDRINGSBARA PARAMETRAR'!G65)*'ÄNDRINGSBARA PARAMETRAR'!G19</f>
        <v>97.714285714285722</v>
      </c>
      <c r="H61" s="486">
        <f>1/(1+'ÄNDRINGSBARA PARAMETRAR'!H65)*'ÄNDRINGSBARA PARAMETRAR'!H19</f>
        <v>97.714285714285722</v>
      </c>
      <c r="I61" s="486">
        <f>1/(1+'ÄNDRINGSBARA PARAMETRAR'!I65)*'ÄNDRINGSBARA PARAMETRAR'!I19</f>
        <v>97.714285714285722</v>
      </c>
      <c r="J61" s="486">
        <f>1/(1+'ÄNDRINGSBARA PARAMETRAR'!J65)*'ÄNDRINGSBARA PARAMETRAR'!J19</f>
        <v>97.714285714285722</v>
      </c>
      <c r="K61" s="486">
        <f>1/(1+'ÄNDRINGSBARA PARAMETRAR'!K65)*'ÄNDRINGSBARA PARAMETRAR'!K19</f>
        <v>97.714285714285722</v>
      </c>
      <c r="L61" s="486">
        <f>1/(1+'ÄNDRINGSBARA PARAMETRAR'!L65)*'ÄNDRINGSBARA PARAMETRAR'!L19</f>
        <v>97.714285714285722</v>
      </c>
      <c r="M61" s="486">
        <f>1/(1+'ÄNDRINGSBARA PARAMETRAR'!M65)*'ÄNDRINGSBARA PARAMETRAR'!M19</f>
        <v>97.714285714285722</v>
      </c>
      <c r="O61" s="22" t="str">
        <f t="shared" si="67"/>
        <v>KVV avfall</v>
      </c>
      <c r="P61" s="486">
        <f>1/(1+'ÄNDRINGSBARA PARAMETRAR'!B65)*'ÄNDRINGSBARA PARAMETRAR'!B34</f>
        <v>2.8571428571428574E-2</v>
      </c>
      <c r="Q61" s="486">
        <f>1/(1+'ÄNDRINGSBARA PARAMETRAR'!C65)*'ÄNDRINGSBARA PARAMETRAR'!C34</f>
        <v>2.8571428571428574E-2</v>
      </c>
      <c r="R61" s="486">
        <f>1/(1+'ÄNDRINGSBARA PARAMETRAR'!D65)*'ÄNDRINGSBARA PARAMETRAR'!D34</f>
        <v>2.8571428571428574E-2</v>
      </c>
      <c r="S61" s="486">
        <f>1/(1+'ÄNDRINGSBARA PARAMETRAR'!E65)*'ÄNDRINGSBARA PARAMETRAR'!E34</f>
        <v>2.8571428571428574E-2</v>
      </c>
      <c r="T61" s="486">
        <f>1/(1+'ÄNDRINGSBARA PARAMETRAR'!F65)*'ÄNDRINGSBARA PARAMETRAR'!F34</f>
        <v>2.8571428571428574E-2</v>
      </c>
      <c r="U61" s="486">
        <f>1/(1+'ÄNDRINGSBARA PARAMETRAR'!G65)*'ÄNDRINGSBARA PARAMETRAR'!G34</f>
        <v>2.8571428571428574E-2</v>
      </c>
      <c r="V61" s="486">
        <f>1/(1+'ÄNDRINGSBARA PARAMETRAR'!H65)*'ÄNDRINGSBARA PARAMETRAR'!H34</f>
        <v>2.8571428571428574E-2</v>
      </c>
      <c r="W61" s="486">
        <f>1/(1+'ÄNDRINGSBARA PARAMETRAR'!I65)*'ÄNDRINGSBARA PARAMETRAR'!I34</f>
        <v>2.8571428571428574E-2</v>
      </c>
      <c r="X61" s="486">
        <f>1/(1+'ÄNDRINGSBARA PARAMETRAR'!J65)*'ÄNDRINGSBARA PARAMETRAR'!J34</f>
        <v>2.8571428571428574E-2</v>
      </c>
      <c r="Y61" s="486">
        <f>1/(1+'ÄNDRINGSBARA PARAMETRAR'!K65)*'ÄNDRINGSBARA PARAMETRAR'!K34</f>
        <v>2.8571428571428574E-2</v>
      </c>
      <c r="Z61" s="486">
        <f>1/(1+'ÄNDRINGSBARA PARAMETRAR'!L65)*'ÄNDRINGSBARA PARAMETRAR'!L34</f>
        <v>2.8571428571428574E-2</v>
      </c>
      <c r="AA61" s="486">
        <f>1/(1+'ÄNDRINGSBARA PARAMETRAR'!M65)*'ÄNDRINGSBARA PARAMETRAR'!M34</f>
        <v>2.8571428571428574E-2</v>
      </c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</row>
    <row r="62" spans="1:59" s="296" customFormat="1" x14ac:dyDescent="0.2">
      <c r="A62" s="22" t="str">
        <f>INDATA!A61</f>
        <v>KVV grot</v>
      </c>
      <c r="B62" s="486">
        <f>1/(1+'ÄNDRINGSBARA PARAMETRAR'!B66)*'ÄNDRINGSBARA PARAMETRAR'!B20</f>
        <v>5.6571428571428575</v>
      </c>
      <c r="C62" s="486">
        <f>1/(1+'ÄNDRINGSBARA PARAMETRAR'!C66)*'ÄNDRINGSBARA PARAMETRAR'!C20</f>
        <v>5.6571428571428575</v>
      </c>
      <c r="D62" s="486">
        <f>1/(1+'ÄNDRINGSBARA PARAMETRAR'!D66)*'ÄNDRINGSBARA PARAMETRAR'!D20</f>
        <v>5.6571428571428575</v>
      </c>
      <c r="E62" s="486">
        <f>1/(1+'ÄNDRINGSBARA PARAMETRAR'!E66)*'ÄNDRINGSBARA PARAMETRAR'!E20</f>
        <v>5.6571428571428575</v>
      </c>
      <c r="F62" s="486">
        <f>1/(1+'ÄNDRINGSBARA PARAMETRAR'!F66)*'ÄNDRINGSBARA PARAMETRAR'!F20</f>
        <v>5.6571428571428575</v>
      </c>
      <c r="G62" s="486">
        <f>1/(1+'ÄNDRINGSBARA PARAMETRAR'!G66)*'ÄNDRINGSBARA PARAMETRAR'!G20</f>
        <v>5.6571428571428575</v>
      </c>
      <c r="H62" s="486">
        <f>1/(1+'ÄNDRINGSBARA PARAMETRAR'!H66)*'ÄNDRINGSBARA PARAMETRAR'!H20</f>
        <v>5.6571428571428575</v>
      </c>
      <c r="I62" s="486">
        <f>1/(1+'ÄNDRINGSBARA PARAMETRAR'!I66)*'ÄNDRINGSBARA PARAMETRAR'!I20</f>
        <v>5.6571428571428575</v>
      </c>
      <c r="J62" s="486">
        <f>1/(1+'ÄNDRINGSBARA PARAMETRAR'!J66)*'ÄNDRINGSBARA PARAMETRAR'!J20</f>
        <v>5.6571428571428575</v>
      </c>
      <c r="K62" s="486">
        <f>1/(1+'ÄNDRINGSBARA PARAMETRAR'!K66)*'ÄNDRINGSBARA PARAMETRAR'!K20</f>
        <v>5.6571428571428575</v>
      </c>
      <c r="L62" s="486">
        <f>1/(1+'ÄNDRINGSBARA PARAMETRAR'!L66)*'ÄNDRINGSBARA PARAMETRAR'!L20</f>
        <v>5.6571428571428575</v>
      </c>
      <c r="M62" s="486">
        <f>1/(1+'ÄNDRINGSBARA PARAMETRAR'!M66)*'ÄNDRINGSBARA PARAMETRAR'!M20</f>
        <v>5.6571428571428575</v>
      </c>
      <c r="O62" s="22" t="str">
        <f t="shared" si="67"/>
        <v>KVV grot</v>
      </c>
      <c r="P62" s="486">
        <f>1/(1+'ÄNDRINGSBARA PARAMETRAR'!B66)*'ÄNDRINGSBARA PARAMETRAR'!B35</f>
        <v>2.1428571428571429E-2</v>
      </c>
      <c r="Q62" s="486">
        <f>1/(1+'ÄNDRINGSBARA PARAMETRAR'!C66)*'ÄNDRINGSBARA PARAMETRAR'!C35</f>
        <v>2.1428571428571429E-2</v>
      </c>
      <c r="R62" s="486">
        <f>1/(1+'ÄNDRINGSBARA PARAMETRAR'!D66)*'ÄNDRINGSBARA PARAMETRAR'!D35</f>
        <v>2.1428571428571429E-2</v>
      </c>
      <c r="S62" s="486">
        <f>1/(1+'ÄNDRINGSBARA PARAMETRAR'!E66)*'ÄNDRINGSBARA PARAMETRAR'!E35</f>
        <v>2.1428571428571429E-2</v>
      </c>
      <c r="T62" s="486">
        <f>1/(1+'ÄNDRINGSBARA PARAMETRAR'!F66)*'ÄNDRINGSBARA PARAMETRAR'!F35</f>
        <v>2.1428571428571429E-2</v>
      </c>
      <c r="U62" s="486">
        <f>1/(1+'ÄNDRINGSBARA PARAMETRAR'!G66)*'ÄNDRINGSBARA PARAMETRAR'!G35</f>
        <v>2.1428571428571429E-2</v>
      </c>
      <c r="V62" s="486">
        <f>1/(1+'ÄNDRINGSBARA PARAMETRAR'!H66)*'ÄNDRINGSBARA PARAMETRAR'!H35</f>
        <v>2.1428571428571429E-2</v>
      </c>
      <c r="W62" s="486">
        <f>1/(1+'ÄNDRINGSBARA PARAMETRAR'!I66)*'ÄNDRINGSBARA PARAMETRAR'!I35</f>
        <v>2.1428571428571429E-2</v>
      </c>
      <c r="X62" s="486">
        <f>1/(1+'ÄNDRINGSBARA PARAMETRAR'!J66)*'ÄNDRINGSBARA PARAMETRAR'!J35</f>
        <v>2.1428571428571429E-2</v>
      </c>
      <c r="Y62" s="486">
        <f>1/(1+'ÄNDRINGSBARA PARAMETRAR'!K66)*'ÄNDRINGSBARA PARAMETRAR'!K35</f>
        <v>2.1428571428571429E-2</v>
      </c>
      <c r="Z62" s="486">
        <f>1/(1+'ÄNDRINGSBARA PARAMETRAR'!L66)*'ÄNDRINGSBARA PARAMETRAR'!L35</f>
        <v>2.1428571428571429E-2</v>
      </c>
      <c r="AA62" s="486">
        <f>1/(1+'ÄNDRINGSBARA PARAMETRAR'!M66)*'ÄNDRINGSBARA PARAMETRAR'!M35</f>
        <v>2.1428571428571429E-2</v>
      </c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</row>
    <row r="63" spans="1:59" s="296" customFormat="1" x14ac:dyDescent="0.2">
      <c r="A63" s="22" t="str">
        <f>INDATA!A62</f>
        <v>Värmepump COP3</v>
      </c>
      <c r="B63" s="487">
        <f>1*1/'ÄNDRINGSBARA PARAMETRAR'!B52*'ÄNDRINGSBARA PARAMETRAR'!B21</f>
        <v>294.66666666666663</v>
      </c>
      <c r="C63" s="487">
        <f>1*1/'ÄNDRINGSBARA PARAMETRAR'!C52*'ÄNDRINGSBARA PARAMETRAR'!C21</f>
        <v>294.66666666666663</v>
      </c>
      <c r="D63" s="487">
        <f>1*1/'ÄNDRINGSBARA PARAMETRAR'!D52*'ÄNDRINGSBARA PARAMETRAR'!D21</f>
        <v>294.66666666666663</v>
      </c>
      <c r="E63" s="487">
        <f>1*1/'ÄNDRINGSBARA PARAMETRAR'!E52*'ÄNDRINGSBARA PARAMETRAR'!E21</f>
        <v>294.66666666666663</v>
      </c>
      <c r="F63" s="487">
        <f>1*1/'ÄNDRINGSBARA PARAMETRAR'!F52*'ÄNDRINGSBARA PARAMETRAR'!F21</f>
        <v>294.66666666666663</v>
      </c>
      <c r="G63" s="487">
        <f>1*1/'ÄNDRINGSBARA PARAMETRAR'!G52*'ÄNDRINGSBARA PARAMETRAR'!G21</f>
        <v>294.66666666666663</v>
      </c>
      <c r="H63" s="487">
        <f>1*1/'ÄNDRINGSBARA PARAMETRAR'!H52*'ÄNDRINGSBARA PARAMETRAR'!H21</f>
        <v>294.66666666666663</v>
      </c>
      <c r="I63" s="487">
        <f>1*1/'ÄNDRINGSBARA PARAMETRAR'!I52*'ÄNDRINGSBARA PARAMETRAR'!I21</f>
        <v>294.66666666666663</v>
      </c>
      <c r="J63" s="487">
        <f>1*1/'ÄNDRINGSBARA PARAMETRAR'!J52*'ÄNDRINGSBARA PARAMETRAR'!J21</f>
        <v>294.66666666666663</v>
      </c>
      <c r="K63" s="487">
        <f>1*1/'ÄNDRINGSBARA PARAMETRAR'!K52*'ÄNDRINGSBARA PARAMETRAR'!K21</f>
        <v>294.66666666666663</v>
      </c>
      <c r="L63" s="487">
        <f>1*1/'ÄNDRINGSBARA PARAMETRAR'!L52*'ÄNDRINGSBARA PARAMETRAR'!L21</f>
        <v>294.66666666666663</v>
      </c>
      <c r="M63" s="488">
        <f>1*1/'ÄNDRINGSBARA PARAMETRAR'!M52*'ÄNDRINGSBARA PARAMETRAR'!M21</f>
        <v>294.66666666666663</v>
      </c>
      <c r="O63" s="22" t="str">
        <f t="shared" si="67"/>
        <v>Värmepump COP3</v>
      </c>
      <c r="P63" s="493">
        <f>1*1/'ÄNDRINGSBARA PARAMETRAR'!B52*'ÄNDRINGSBARA PARAMETRAR'!B36</f>
        <v>0.88122605363984663</v>
      </c>
      <c r="Q63" s="493">
        <f>1*1/'ÄNDRINGSBARA PARAMETRAR'!C52*'ÄNDRINGSBARA PARAMETRAR'!C36</f>
        <v>0.88122605363984663</v>
      </c>
      <c r="R63" s="493">
        <f>1*1/'ÄNDRINGSBARA PARAMETRAR'!D52*'ÄNDRINGSBARA PARAMETRAR'!D36</f>
        <v>0.88122605363984663</v>
      </c>
      <c r="S63" s="493">
        <f>1*1/'ÄNDRINGSBARA PARAMETRAR'!E52*'ÄNDRINGSBARA PARAMETRAR'!E36</f>
        <v>0.88122605363984663</v>
      </c>
      <c r="T63" s="493">
        <f>1*1/'ÄNDRINGSBARA PARAMETRAR'!F52*'ÄNDRINGSBARA PARAMETRAR'!F36</f>
        <v>0.88122605363984663</v>
      </c>
      <c r="U63" s="493">
        <f>1*1/'ÄNDRINGSBARA PARAMETRAR'!G52*'ÄNDRINGSBARA PARAMETRAR'!G36</f>
        <v>0.88122605363984663</v>
      </c>
      <c r="V63" s="493">
        <f>1*1/'ÄNDRINGSBARA PARAMETRAR'!H52*'ÄNDRINGSBARA PARAMETRAR'!H36</f>
        <v>0.88122605363984663</v>
      </c>
      <c r="W63" s="493">
        <f>1*1/'ÄNDRINGSBARA PARAMETRAR'!I52*'ÄNDRINGSBARA PARAMETRAR'!I36</f>
        <v>0.88122605363984663</v>
      </c>
      <c r="X63" s="493">
        <f>1*1/'ÄNDRINGSBARA PARAMETRAR'!J52*'ÄNDRINGSBARA PARAMETRAR'!J36</f>
        <v>0.88122605363984663</v>
      </c>
      <c r="Y63" s="493">
        <f>1*1/'ÄNDRINGSBARA PARAMETRAR'!K52*'ÄNDRINGSBARA PARAMETRAR'!K36</f>
        <v>0.88122605363984663</v>
      </c>
      <c r="Z63" s="493">
        <f>1*1/'ÄNDRINGSBARA PARAMETRAR'!L52*'ÄNDRINGSBARA PARAMETRAR'!L36</f>
        <v>0.88122605363984663</v>
      </c>
      <c r="AA63" s="494">
        <f>1*1/'ÄNDRINGSBARA PARAMETRAR'!M52*'ÄNDRINGSBARA PARAMETRAR'!M36</f>
        <v>0.88122605363984663</v>
      </c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</row>
    <row r="64" spans="1:59" s="296" customFormat="1" x14ac:dyDescent="0.2">
      <c r="A64" s="22" t="str">
        <f>INDATA!A63</f>
        <v>Spillvärme industri</v>
      </c>
      <c r="B64" s="487">
        <f>1*1/'ÄNDRINGSBARA PARAMETRAR'!B53*'ÄNDRINGSBARA PARAMETRAR'!B22</f>
        <v>0</v>
      </c>
      <c r="C64" s="487">
        <f>1*1/'ÄNDRINGSBARA PARAMETRAR'!C53*'ÄNDRINGSBARA PARAMETRAR'!C22</f>
        <v>0</v>
      </c>
      <c r="D64" s="487">
        <f>1*1/'ÄNDRINGSBARA PARAMETRAR'!D53*'ÄNDRINGSBARA PARAMETRAR'!D22</f>
        <v>0</v>
      </c>
      <c r="E64" s="487">
        <f>1*1/'ÄNDRINGSBARA PARAMETRAR'!E53*'ÄNDRINGSBARA PARAMETRAR'!E22</f>
        <v>0</v>
      </c>
      <c r="F64" s="487">
        <f>1*1/'ÄNDRINGSBARA PARAMETRAR'!F53*'ÄNDRINGSBARA PARAMETRAR'!F22</f>
        <v>0</v>
      </c>
      <c r="G64" s="487">
        <f>1*1/'ÄNDRINGSBARA PARAMETRAR'!G53*'ÄNDRINGSBARA PARAMETRAR'!G22</f>
        <v>0</v>
      </c>
      <c r="H64" s="487">
        <f>1*1/'ÄNDRINGSBARA PARAMETRAR'!H53*'ÄNDRINGSBARA PARAMETRAR'!H22</f>
        <v>0</v>
      </c>
      <c r="I64" s="487">
        <f>1*1/'ÄNDRINGSBARA PARAMETRAR'!I53*'ÄNDRINGSBARA PARAMETRAR'!I22</f>
        <v>0</v>
      </c>
      <c r="J64" s="487">
        <f>1*1/'ÄNDRINGSBARA PARAMETRAR'!J53*'ÄNDRINGSBARA PARAMETRAR'!J22</f>
        <v>0</v>
      </c>
      <c r="K64" s="487">
        <f>1*1/'ÄNDRINGSBARA PARAMETRAR'!K53*'ÄNDRINGSBARA PARAMETRAR'!K22</f>
        <v>0</v>
      </c>
      <c r="L64" s="487">
        <f>1*1/'ÄNDRINGSBARA PARAMETRAR'!L53*'ÄNDRINGSBARA PARAMETRAR'!L22</f>
        <v>0</v>
      </c>
      <c r="M64" s="488">
        <f>1*1/'ÄNDRINGSBARA PARAMETRAR'!M53*'ÄNDRINGSBARA PARAMETRAR'!M22</f>
        <v>0</v>
      </c>
      <c r="O64" s="22" t="str">
        <f t="shared" si="67"/>
        <v>Spillvärme industri</v>
      </c>
      <c r="P64" s="493">
        <f>1*1/'ÄNDRINGSBARA PARAMETRAR'!B53*'ÄNDRINGSBARA PARAMETRAR'!B37</f>
        <v>0</v>
      </c>
      <c r="Q64" s="493">
        <f>1*1/'ÄNDRINGSBARA PARAMETRAR'!C53*'ÄNDRINGSBARA PARAMETRAR'!C37</f>
        <v>0</v>
      </c>
      <c r="R64" s="493">
        <f>1*1/'ÄNDRINGSBARA PARAMETRAR'!D53*'ÄNDRINGSBARA PARAMETRAR'!D37</f>
        <v>0</v>
      </c>
      <c r="S64" s="493">
        <f>1*1/'ÄNDRINGSBARA PARAMETRAR'!E53*'ÄNDRINGSBARA PARAMETRAR'!E37</f>
        <v>0</v>
      </c>
      <c r="T64" s="493">
        <f>1*1/'ÄNDRINGSBARA PARAMETRAR'!F53*'ÄNDRINGSBARA PARAMETRAR'!F37</f>
        <v>0</v>
      </c>
      <c r="U64" s="493">
        <f>1*1/'ÄNDRINGSBARA PARAMETRAR'!G53*'ÄNDRINGSBARA PARAMETRAR'!G37</f>
        <v>0</v>
      </c>
      <c r="V64" s="493">
        <f>1*1/'ÄNDRINGSBARA PARAMETRAR'!H53*'ÄNDRINGSBARA PARAMETRAR'!H37</f>
        <v>0</v>
      </c>
      <c r="W64" s="493">
        <f>1*1/'ÄNDRINGSBARA PARAMETRAR'!I53*'ÄNDRINGSBARA PARAMETRAR'!I37</f>
        <v>0</v>
      </c>
      <c r="X64" s="493">
        <f>1*1/'ÄNDRINGSBARA PARAMETRAR'!J53*'ÄNDRINGSBARA PARAMETRAR'!J37</f>
        <v>0</v>
      </c>
      <c r="Y64" s="493">
        <f>1*1/'ÄNDRINGSBARA PARAMETRAR'!K53*'ÄNDRINGSBARA PARAMETRAR'!K37</f>
        <v>0</v>
      </c>
      <c r="Z64" s="493">
        <f>1*1/'ÄNDRINGSBARA PARAMETRAR'!L53*'ÄNDRINGSBARA PARAMETRAR'!L37</f>
        <v>0</v>
      </c>
      <c r="AA64" s="494">
        <f>1*1/'ÄNDRINGSBARA PARAMETRAR'!M53*'ÄNDRINGSBARA PARAMETRAR'!M37</f>
        <v>0</v>
      </c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101"/>
      <c r="AZ64" s="101"/>
      <c r="BA64" s="101"/>
      <c r="BB64" s="101"/>
      <c r="BC64" s="101"/>
      <c r="BD64" s="101"/>
      <c r="BE64" s="101"/>
      <c r="BF64" s="101"/>
      <c r="BG64" s="101"/>
    </row>
    <row r="65" spans="1:59" s="296" customFormat="1" x14ac:dyDescent="0.2">
      <c r="A65" s="22" t="str">
        <f>INDATA!A64</f>
        <v>HVC Gas</v>
      </c>
      <c r="B65" s="486">
        <f>1/(1+'ÄNDRINGSBARA PARAMETRAR'!B69)*'ÄNDRINGSBARA PARAMETRAR'!B23</f>
        <v>248.4</v>
      </c>
      <c r="C65" s="486">
        <f>1/(1+'ÄNDRINGSBARA PARAMETRAR'!C69)*'ÄNDRINGSBARA PARAMETRAR'!C23</f>
        <v>248.4</v>
      </c>
      <c r="D65" s="486">
        <f>1/(1+'ÄNDRINGSBARA PARAMETRAR'!D69)*'ÄNDRINGSBARA PARAMETRAR'!D23</f>
        <v>248.4</v>
      </c>
      <c r="E65" s="486">
        <f>1/(1+'ÄNDRINGSBARA PARAMETRAR'!E69)*'ÄNDRINGSBARA PARAMETRAR'!E23</f>
        <v>248.4</v>
      </c>
      <c r="F65" s="486">
        <f>1/(1+'ÄNDRINGSBARA PARAMETRAR'!F69)*'ÄNDRINGSBARA PARAMETRAR'!F23</f>
        <v>248.4</v>
      </c>
      <c r="G65" s="486">
        <f>1/(1+'ÄNDRINGSBARA PARAMETRAR'!G69)*'ÄNDRINGSBARA PARAMETRAR'!G23</f>
        <v>248.4</v>
      </c>
      <c r="H65" s="486">
        <f>1/(1+'ÄNDRINGSBARA PARAMETRAR'!H69)*'ÄNDRINGSBARA PARAMETRAR'!H23</f>
        <v>248.4</v>
      </c>
      <c r="I65" s="486">
        <f>1/(1+'ÄNDRINGSBARA PARAMETRAR'!I69)*'ÄNDRINGSBARA PARAMETRAR'!I23</f>
        <v>248.4</v>
      </c>
      <c r="J65" s="486">
        <f>1/(1+'ÄNDRINGSBARA PARAMETRAR'!J69)*'ÄNDRINGSBARA PARAMETRAR'!J23</f>
        <v>248.4</v>
      </c>
      <c r="K65" s="486">
        <f>1/(1+'ÄNDRINGSBARA PARAMETRAR'!K69)*'ÄNDRINGSBARA PARAMETRAR'!K23</f>
        <v>248.4</v>
      </c>
      <c r="L65" s="486">
        <f>1/(1+'ÄNDRINGSBARA PARAMETRAR'!L69)*'ÄNDRINGSBARA PARAMETRAR'!L23</f>
        <v>248.4</v>
      </c>
      <c r="M65" s="486">
        <f>1/(1+'ÄNDRINGSBARA PARAMETRAR'!M69)*'ÄNDRINGSBARA PARAMETRAR'!M23</f>
        <v>248.4</v>
      </c>
      <c r="O65" s="22" t="str">
        <f t="shared" si="67"/>
        <v>HVC Gas</v>
      </c>
      <c r="P65" s="486">
        <f>1/(1+'ÄNDRINGSBARA PARAMETRAR'!B69)*'ÄNDRINGSBARA PARAMETRAR'!B38</f>
        <v>1.0900000000000001</v>
      </c>
      <c r="Q65" s="486">
        <f>1/(1+'ÄNDRINGSBARA PARAMETRAR'!C69)*'ÄNDRINGSBARA PARAMETRAR'!C38</f>
        <v>1.0900000000000001</v>
      </c>
      <c r="R65" s="486">
        <f>1/(1+'ÄNDRINGSBARA PARAMETRAR'!D69)*'ÄNDRINGSBARA PARAMETRAR'!D38</f>
        <v>1.0900000000000001</v>
      </c>
      <c r="S65" s="486">
        <f>1/(1+'ÄNDRINGSBARA PARAMETRAR'!E69)*'ÄNDRINGSBARA PARAMETRAR'!E38</f>
        <v>1.0900000000000001</v>
      </c>
      <c r="T65" s="486">
        <f>1/(1+'ÄNDRINGSBARA PARAMETRAR'!F69)*'ÄNDRINGSBARA PARAMETRAR'!F38</f>
        <v>1.0900000000000001</v>
      </c>
      <c r="U65" s="486">
        <f>1/(1+'ÄNDRINGSBARA PARAMETRAR'!G69)*'ÄNDRINGSBARA PARAMETRAR'!G38</f>
        <v>1.0900000000000001</v>
      </c>
      <c r="V65" s="486">
        <f>1/(1+'ÄNDRINGSBARA PARAMETRAR'!H69)*'ÄNDRINGSBARA PARAMETRAR'!H38</f>
        <v>1.0900000000000001</v>
      </c>
      <c r="W65" s="486">
        <f>1/(1+'ÄNDRINGSBARA PARAMETRAR'!I69)*'ÄNDRINGSBARA PARAMETRAR'!I38</f>
        <v>1.0900000000000001</v>
      </c>
      <c r="X65" s="486">
        <f>1/(1+'ÄNDRINGSBARA PARAMETRAR'!J69)*'ÄNDRINGSBARA PARAMETRAR'!J38</f>
        <v>1.0900000000000001</v>
      </c>
      <c r="Y65" s="486">
        <f>1/(1+'ÄNDRINGSBARA PARAMETRAR'!K69)*'ÄNDRINGSBARA PARAMETRAR'!K38</f>
        <v>1.0900000000000001</v>
      </c>
      <c r="Z65" s="486">
        <f>1/(1+'ÄNDRINGSBARA PARAMETRAR'!L69)*'ÄNDRINGSBARA PARAMETRAR'!L38</f>
        <v>1.0900000000000001</v>
      </c>
      <c r="AA65" s="486">
        <f>1/(1+'ÄNDRINGSBARA PARAMETRAR'!M69)*'ÄNDRINGSBARA PARAMETRAR'!M38</f>
        <v>1.0900000000000001</v>
      </c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101"/>
      <c r="AZ65" s="101"/>
      <c r="BA65" s="101"/>
      <c r="BB65" s="101"/>
      <c r="BC65" s="101"/>
      <c r="BD65" s="101"/>
      <c r="BE65" s="101"/>
      <c r="BF65" s="101"/>
      <c r="BG65" s="101"/>
    </row>
    <row r="66" spans="1:59" s="296" customFormat="1" x14ac:dyDescent="0.2">
      <c r="A66" s="22" t="str">
        <f>INDATA!A65</f>
        <v>KVV Gas</v>
      </c>
      <c r="B66" s="486">
        <f>1/(1+'ÄNDRINGSBARA PARAMETRAR'!B70)*'ÄNDRINGSBARA PARAMETRAR'!B24</f>
        <v>177.42857142857144</v>
      </c>
      <c r="C66" s="486">
        <f>1/(1+'ÄNDRINGSBARA PARAMETRAR'!C70)*'ÄNDRINGSBARA PARAMETRAR'!C24</f>
        <v>177.42857142857144</v>
      </c>
      <c r="D66" s="486">
        <f>1/(1+'ÄNDRINGSBARA PARAMETRAR'!D70)*'ÄNDRINGSBARA PARAMETRAR'!D24</f>
        <v>177.42857142857144</v>
      </c>
      <c r="E66" s="486">
        <f>1/(1+'ÄNDRINGSBARA PARAMETRAR'!E70)*'ÄNDRINGSBARA PARAMETRAR'!E24</f>
        <v>177.42857142857144</v>
      </c>
      <c r="F66" s="486">
        <f>1/(1+'ÄNDRINGSBARA PARAMETRAR'!F70)*'ÄNDRINGSBARA PARAMETRAR'!F24</f>
        <v>177.42857142857144</v>
      </c>
      <c r="G66" s="486">
        <f>1/(1+'ÄNDRINGSBARA PARAMETRAR'!G70)*'ÄNDRINGSBARA PARAMETRAR'!G24</f>
        <v>177.42857142857144</v>
      </c>
      <c r="H66" s="486">
        <f>1/(1+'ÄNDRINGSBARA PARAMETRAR'!H70)*'ÄNDRINGSBARA PARAMETRAR'!H24</f>
        <v>177.42857142857144</v>
      </c>
      <c r="I66" s="486">
        <f>1/(1+'ÄNDRINGSBARA PARAMETRAR'!I70)*'ÄNDRINGSBARA PARAMETRAR'!I24</f>
        <v>177.42857142857144</v>
      </c>
      <c r="J66" s="486">
        <f>1/(1+'ÄNDRINGSBARA PARAMETRAR'!J70)*'ÄNDRINGSBARA PARAMETRAR'!J24</f>
        <v>177.42857142857144</v>
      </c>
      <c r="K66" s="486">
        <f>1/(1+'ÄNDRINGSBARA PARAMETRAR'!K70)*'ÄNDRINGSBARA PARAMETRAR'!K24</f>
        <v>177.42857142857144</v>
      </c>
      <c r="L66" s="486">
        <f>1/(1+'ÄNDRINGSBARA PARAMETRAR'!L70)*'ÄNDRINGSBARA PARAMETRAR'!L24</f>
        <v>177.42857142857144</v>
      </c>
      <c r="M66" s="486">
        <f>1/(1+'ÄNDRINGSBARA PARAMETRAR'!M70)*'ÄNDRINGSBARA PARAMETRAR'!M24</f>
        <v>177.42857142857144</v>
      </c>
      <c r="O66" s="22" t="str">
        <f t="shared" si="67"/>
        <v>KVV Gas</v>
      </c>
      <c r="P66" s="486">
        <f>1/(1+'ÄNDRINGSBARA PARAMETRAR'!B70)*'ÄNDRINGSBARA PARAMETRAR'!B39</f>
        <v>0.77857142857142869</v>
      </c>
      <c r="Q66" s="486">
        <f>1/(1+'ÄNDRINGSBARA PARAMETRAR'!C70)*'ÄNDRINGSBARA PARAMETRAR'!C39</f>
        <v>0.77857142857142869</v>
      </c>
      <c r="R66" s="486">
        <f>1/(1+'ÄNDRINGSBARA PARAMETRAR'!D70)*'ÄNDRINGSBARA PARAMETRAR'!D39</f>
        <v>0.77857142857142869</v>
      </c>
      <c r="S66" s="486">
        <f>1/(1+'ÄNDRINGSBARA PARAMETRAR'!E70)*'ÄNDRINGSBARA PARAMETRAR'!E39</f>
        <v>0.77857142857142869</v>
      </c>
      <c r="T66" s="486">
        <f>1/(1+'ÄNDRINGSBARA PARAMETRAR'!F70)*'ÄNDRINGSBARA PARAMETRAR'!F39</f>
        <v>0.77857142857142869</v>
      </c>
      <c r="U66" s="486">
        <f>1/(1+'ÄNDRINGSBARA PARAMETRAR'!G70)*'ÄNDRINGSBARA PARAMETRAR'!G39</f>
        <v>0.77857142857142869</v>
      </c>
      <c r="V66" s="486">
        <f>1/(1+'ÄNDRINGSBARA PARAMETRAR'!H70)*'ÄNDRINGSBARA PARAMETRAR'!H39</f>
        <v>0.77857142857142869</v>
      </c>
      <c r="W66" s="486">
        <f>1/(1+'ÄNDRINGSBARA PARAMETRAR'!I70)*'ÄNDRINGSBARA PARAMETRAR'!I39</f>
        <v>0.77857142857142869</v>
      </c>
      <c r="X66" s="486">
        <f>1/(1+'ÄNDRINGSBARA PARAMETRAR'!J70)*'ÄNDRINGSBARA PARAMETRAR'!J39</f>
        <v>0.77857142857142869</v>
      </c>
      <c r="Y66" s="486">
        <f>1/(1+'ÄNDRINGSBARA PARAMETRAR'!K70)*'ÄNDRINGSBARA PARAMETRAR'!K39</f>
        <v>0.77857142857142869</v>
      </c>
      <c r="Z66" s="486">
        <f>1/(1+'ÄNDRINGSBARA PARAMETRAR'!L70)*'ÄNDRINGSBARA PARAMETRAR'!L39</f>
        <v>0.77857142857142869</v>
      </c>
      <c r="AA66" s="486">
        <f>1/(1+'ÄNDRINGSBARA PARAMETRAR'!M70)*'ÄNDRINGSBARA PARAMETRAR'!M39</f>
        <v>0.77857142857142869</v>
      </c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101"/>
      <c r="AZ66" s="101"/>
      <c r="BA66" s="101"/>
      <c r="BB66" s="101"/>
      <c r="BC66" s="101"/>
      <c r="BD66" s="101"/>
      <c r="BE66" s="101"/>
      <c r="BF66" s="101"/>
      <c r="BG66" s="101"/>
    </row>
    <row r="67" spans="1:59" s="296" customFormat="1" x14ac:dyDescent="0.2">
      <c r="A67" s="22" t="str">
        <f>INDATA!A66</f>
        <v>Valfri 3</v>
      </c>
      <c r="B67" s="486">
        <f>1/(1+'ÄNDRINGSBARA PARAMETRAR'!B71)*'ÄNDRINGSBARA PARAMETRAR'!B25</f>
        <v>0</v>
      </c>
      <c r="C67" s="486">
        <f>1/(1+'ÄNDRINGSBARA PARAMETRAR'!C71)*'ÄNDRINGSBARA PARAMETRAR'!C25</f>
        <v>0</v>
      </c>
      <c r="D67" s="486">
        <f>1/(1+'ÄNDRINGSBARA PARAMETRAR'!D71)*'ÄNDRINGSBARA PARAMETRAR'!D25</f>
        <v>0</v>
      </c>
      <c r="E67" s="486">
        <f>1/(1+'ÄNDRINGSBARA PARAMETRAR'!E71)*'ÄNDRINGSBARA PARAMETRAR'!E25</f>
        <v>0</v>
      </c>
      <c r="F67" s="486">
        <f>1/(1+'ÄNDRINGSBARA PARAMETRAR'!F71)*'ÄNDRINGSBARA PARAMETRAR'!F25</f>
        <v>0</v>
      </c>
      <c r="G67" s="486">
        <f>1/(1+'ÄNDRINGSBARA PARAMETRAR'!G71)*'ÄNDRINGSBARA PARAMETRAR'!G25</f>
        <v>0</v>
      </c>
      <c r="H67" s="486">
        <f>1/(1+'ÄNDRINGSBARA PARAMETRAR'!H71)*'ÄNDRINGSBARA PARAMETRAR'!H25</f>
        <v>0</v>
      </c>
      <c r="I67" s="486">
        <f>1/(1+'ÄNDRINGSBARA PARAMETRAR'!I71)*'ÄNDRINGSBARA PARAMETRAR'!I25</f>
        <v>0</v>
      </c>
      <c r="J67" s="486">
        <f>1/(1+'ÄNDRINGSBARA PARAMETRAR'!J71)*'ÄNDRINGSBARA PARAMETRAR'!J25</f>
        <v>0</v>
      </c>
      <c r="K67" s="486">
        <f>1/(1+'ÄNDRINGSBARA PARAMETRAR'!K71)*'ÄNDRINGSBARA PARAMETRAR'!K25</f>
        <v>0</v>
      </c>
      <c r="L67" s="486">
        <f>1/(1+'ÄNDRINGSBARA PARAMETRAR'!L71)*'ÄNDRINGSBARA PARAMETRAR'!L25</f>
        <v>0</v>
      </c>
      <c r="M67" s="486">
        <f>1/(1+'ÄNDRINGSBARA PARAMETRAR'!M71)*'ÄNDRINGSBARA PARAMETRAR'!M25</f>
        <v>0</v>
      </c>
      <c r="O67" s="22" t="str">
        <f t="shared" si="67"/>
        <v>Valfri 3</v>
      </c>
      <c r="P67" s="486">
        <f>1/(1+'ÄNDRINGSBARA PARAMETRAR'!B71)*'ÄNDRINGSBARA PARAMETRAR'!B40</f>
        <v>0</v>
      </c>
      <c r="Q67" s="486">
        <f>1/(1+'ÄNDRINGSBARA PARAMETRAR'!C71)*'ÄNDRINGSBARA PARAMETRAR'!C40</f>
        <v>0</v>
      </c>
      <c r="R67" s="486">
        <f>1/(1+'ÄNDRINGSBARA PARAMETRAR'!D71)*'ÄNDRINGSBARA PARAMETRAR'!D40</f>
        <v>0</v>
      </c>
      <c r="S67" s="486">
        <f>1/(1+'ÄNDRINGSBARA PARAMETRAR'!E71)*'ÄNDRINGSBARA PARAMETRAR'!E40</f>
        <v>0</v>
      </c>
      <c r="T67" s="486">
        <f>1/(1+'ÄNDRINGSBARA PARAMETRAR'!F71)*'ÄNDRINGSBARA PARAMETRAR'!F40</f>
        <v>0</v>
      </c>
      <c r="U67" s="486">
        <f>1/(1+'ÄNDRINGSBARA PARAMETRAR'!G71)*'ÄNDRINGSBARA PARAMETRAR'!G40</f>
        <v>0</v>
      </c>
      <c r="V67" s="486">
        <f>1/(1+'ÄNDRINGSBARA PARAMETRAR'!H71)*'ÄNDRINGSBARA PARAMETRAR'!H40</f>
        <v>0</v>
      </c>
      <c r="W67" s="486">
        <f>1/(1+'ÄNDRINGSBARA PARAMETRAR'!I71)*'ÄNDRINGSBARA PARAMETRAR'!I40</f>
        <v>0</v>
      </c>
      <c r="X67" s="486">
        <f>1/(1+'ÄNDRINGSBARA PARAMETRAR'!J71)*'ÄNDRINGSBARA PARAMETRAR'!J40</f>
        <v>0</v>
      </c>
      <c r="Y67" s="486">
        <f>1/(1+'ÄNDRINGSBARA PARAMETRAR'!K71)*'ÄNDRINGSBARA PARAMETRAR'!K40</f>
        <v>0</v>
      </c>
      <c r="Z67" s="486">
        <f>1/(1+'ÄNDRINGSBARA PARAMETRAR'!L71)*'ÄNDRINGSBARA PARAMETRAR'!L40</f>
        <v>0</v>
      </c>
      <c r="AA67" s="486">
        <f>1/(1+'ÄNDRINGSBARA PARAMETRAR'!M71)*'ÄNDRINGSBARA PARAMETRAR'!M40</f>
        <v>0</v>
      </c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101"/>
      <c r="AZ67" s="101"/>
      <c r="BA67" s="101"/>
      <c r="BB67" s="101"/>
      <c r="BC67" s="101"/>
      <c r="BD67" s="101"/>
      <c r="BE67" s="101"/>
      <c r="BF67" s="101"/>
      <c r="BG67" s="101"/>
    </row>
    <row r="68" spans="1:59" s="296" customFormat="1" x14ac:dyDescent="0.2"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101"/>
      <c r="AZ68" s="101"/>
      <c r="BA68" s="101"/>
      <c r="BB68" s="101"/>
      <c r="BC68" s="101"/>
      <c r="BD68" s="101"/>
      <c r="BE68" s="101"/>
      <c r="BF68" s="101"/>
      <c r="BG68" s="101"/>
    </row>
    <row r="69" spans="1:59" s="296" customFormat="1" x14ac:dyDescent="0.2">
      <c r="A69" s="734" t="s">
        <v>355</v>
      </c>
      <c r="B69" s="735"/>
      <c r="C69" s="735"/>
      <c r="D69" s="735"/>
      <c r="E69" s="735"/>
      <c r="F69" s="735"/>
      <c r="G69" s="735"/>
      <c r="H69" s="735"/>
      <c r="I69" s="735"/>
      <c r="J69" s="735"/>
      <c r="K69" s="735"/>
      <c r="L69" s="735"/>
      <c r="M69" s="736"/>
      <c r="O69" s="81" t="s">
        <v>356</v>
      </c>
      <c r="P69" s="346"/>
      <c r="Q69" s="346"/>
      <c r="R69" s="346"/>
      <c r="S69" s="346"/>
      <c r="T69" s="346"/>
      <c r="U69" s="346"/>
      <c r="V69" s="346"/>
      <c r="W69" s="346"/>
      <c r="X69" s="346"/>
      <c r="Y69" s="346"/>
      <c r="Z69" s="346"/>
      <c r="AA69" s="347"/>
      <c r="AB69" s="27"/>
      <c r="AC69" s="6" t="s">
        <v>351</v>
      </c>
      <c r="AD69" s="470"/>
      <c r="AE69" s="484"/>
      <c r="AF69" s="17"/>
      <c r="AG69" s="29"/>
      <c r="AI69" s="6" t="s">
        <v>348</v>
      </c>
      <c r="AJ69" s="470"/>
      <c r="AK69" s="484"/>
      <c r="AL69" s="17"/>
      <c r="AM69" s="29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101"/>
      <c r="AZ69" s="101"/>
      <c r="BA69" s="101"/>
      <c r="BB69" s="101"/>
      <c r="BC69" s="101"/>
      <c r="BD69" s="101"/>
      <c r="BE69" s="101"/>
      <c r="BF69" s="101"/>
      <c r="BG69" s="101"/>
    </row>
    <row r="70" spans="1:59" s="296" customFormat="1" x14ac:dyDescent="0.2">
      <c r="A70" s="53" t="str">
        <f t="shared" ref="A70:M70" si="68">O70</f>
        <v>Typ av anläggning</v>
      </c>
      <c r="B70" s="286" t="str">
        <f t="shared" si="68"/>
        <v>jan</v>
      </c>
      <c r="C70" s="286" t="str">
        <f t="shared" si="68"/>
        <v>feb</v>
      </c>
      <c r="D70" s="286" t="str">
        <f t="shared" si="68"/>
        <v>mar</v>
      </c>
      <c r="E70" s="286" t="str">
        <f t="shared" si="68"/>
        <v>apr</v>
      </c>
      <c r="F70" s="286" t="str">
        <f t="shared" si="68"/>
        <v>maj</v>
      </c>
      <c r="G70" s="286" t="str">
        <f t="shared" si="68"/>
        <v>jun</v>
      </c>
      <c r="H70" s="286" t="str">
        <f t="shared" si="68"/>
        <v>jul</v>
      </c>
      <c r="I70" s="286" t="str">
        <f t="shared" si="68"/>
        <v>aug</v>
      </c>
      <c r="J70" s="286" t="str">
        <f t="shared" si="68"/>
        <v>sep</v>
      </c>
      <c r="K70" s="286" t="str">
        <f t="shared" si="68"/>
        <v>okt</v>
      </c>
      <c r="L70" s="286" t="str">
        <f t="shared" si="68"/>
        <v>nov</v>
      </c>
      <c r="M70" s="286" t="str">
        <f t="shared" si="68"/>
        <v>dec</v>
      </c>
      <c r="O70" s="53" t="s">
        <v>19</v>
      </c>
      <c r="P70" s="286" t="s">
        <v>20</v>
      </c>
      <c r="Q70" s="286" t="s">
        <v>21</v>
      </c>
      <c r="R70" s="286" t="s">
        <v>22</v>
      </c>
      <c r="S70" s="286" t="s">
        <v>23</v>
      </c>
      <c r="T70" s="286" t="s">
        <v>24</v>
      </c>
      <c r="U70" s="286" t="s">
        <v>25</v>
      </c>
      <c r="V70" s="286" t="s">
        <v>26</v>
      </c>
      <c r="W70" s="286" t="s">
        <v>27</v>
      </c>
      <c r="X70" s="286" t="s">
        <v>28</v>
      </c>
      <c r="Y70" s="286" t="s">
        <v>29</v>
      </c>
      <c r="Z70" s="286" t="s">
        <v>30</v>
      </c>
      <c r="AA70" s="286" t="s">
        <v>31</v>
      </c>
      <c r="AB70" s="27"/>
      <c r="AC70" s="7" t="s">
        <v>344</v>
      </c>
      <c r="AD70" s="55"/>
      <c r="AE70" s="55"/>
      <c r="AF70" s="27"/>
      <c r="AG70" s="28"/>
      <c r="AI70" s="7" t="s">
        <v>344</v>
      </c>
      <c r="AJ70" s="55"/>
      <c r="AK70" s="55"/>
      <c r="AL70" s="27"/>
      <c r="AM70" s="28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101"/>
      <c r="AZ70" s="101"/>
      <c r="BA70" s="101"/>
      <c r="BB70" s="101"/>
      <c r="BC70" s="101"/>
      <c r="BD70" s="101"/>
      <c r="BE70" s="101"/>
      <c r="BF70" s="101"/>
      <c r="BG70" s="101"/>
    </row>
    <row r="71" spans="1:59" s="296" customFormat="1" x14ac:dyDescent="0.2">
      <c r="A71" s="22" t="str">
        <f t="shared" ref="A71:A80" si="69">O71</f>
        <v>HVC EO1</v>
      </c>
      <c r="B71" s="495">
        <f>1*1/'ÄNDRINGSBARA PARAMETRAR'!B47*'ÄNDRINGSBARA PARAMETRAR'!B16</f>
        <v>338.8235294117647</v>
      </c>
      <c r="C71" s="495">
        <f>1*1/'ÄNDRINGSBARA PARAMETRAR'!C47*'ÄNDRINGSBARA PARAMETRAR'!C16</f>
        <v>338.8235294117647</v>
      </c>
      <c r="D71" s="495">
        <f>1*1/'ÄNDRINGSBARA PARAMETRAR'!D47*'ÄNDRINGSBARA PARAMETRAR'!D16</f>
        <v>338.8235294117647</v>
      </c>
      <c r="E71" s="495">
        <f>1*1/'ÄNDRINGSBARA PARAMETRAR'!E47*'ÄNDRINGSBARA PARAMETRAR'!E16</f>
        <v>338.8235294117647</v>
      </c>
      <c r="F71" s="495">
        <f>1*1/'ÄNDRINGSBARA PARAMETRAR'!F47*'ÄNDRINGSBARA PARAMETRAR'!F16</f>
        <v>338.8235294117647</v>
      </c>
      <c r="G71" s="495">
        <f>1*1/'ÄNDRINGSBARA PARAMETRAR'!G47*'ÄNDRINGSBARA PARAMETRAR'!G16</f>
        <v>338.8235294117647</v>
      </c>
      <c r="H71" s="495">
        <f>1*1/'ÄNDRINGSBARA PARAMETRAR'!H47*'ÄNDRINGSBARA PARAMETRAR'!H16</f>
        <v>338.8235294117647</v>
      </c>
      <c r="I71" s="495">
        <f>1*1/'ÄNDRINGSBARA PARAMETRAR'!I47*'ÄNDRINGSBARA PARAMETRAR'!I16</f>
        <v>338.8235294117647</v>
      </c>
      <c r="J71" s="495">
        <f>1*1/'ÄNDRINGSBARA PARAMETRAR'!J47*'ÄNDRINGSBARA PARAMETRAR'!J16</f>
        <v>338.8235294117647</v>
      </c>
      <c r="K71" s="495">
        <f>1*1/'ÄNDRINGSBARA PARAMETRAR'!K47*'ÄNDRINGSBARA PARAMETRAR'!K16</f>
        <v>338.8235294117647</v>
      </c>
      <c r="L71" s="495">
        <f>1*1/'ÄNDRINGSBARA PARAMETRAR'!L47*'ÄNDRINGSBARA PARAMETRAR'!L16</f>
        <v>338.8235294117647</v>
      </c>
      <c r="M71" s="496">
        <f>1*1/'ÄNDRINGSBARA PARAMETRAR'!M47*'ÄNDRINGSBARA PARAMETRAR'!M16</f>
        <v>338.8235294117647</v>
      </c>
      <c r="O71" s="22" t="str">
        <f>INDATA!A57</f>
        <v>HVC EO1</v>
      </c>
      <c r="P71" s="489">
        <f>1*1/'ÄNDRINGSBARA PARAMETRAR'!B47*'ÄNDRINGSBARA PARAMETRAR'!B31</f>
        <v>1.3058823529411767</v>
      </c>
      <c r="Q71" s="489">
        <f>1*1/'ÄNDRINGSBARA PARAMETRAR'!C47*'ÄNDRINGSBARA PARAMETRAR'!C31</f>
        <v>1.3058823529411767</v>
      </c>
      <c r="R71" s="489">
        <f>1*1/'ÄNDRINGSBARA PARAMETRAR'!D47*'ÄNDRINGSBARA PARAMETRAR'!D31</f>
        <v>1.3058823529411767</v>
      </c>
      <c r="S71" s="489">
        <f>1*1/'ÄNDRINGSBARA PARAMETRAR'!E47*'ÄNDRINGSBARA PARAMETRAR'!E31</f>
        <v>1.3058823529411767</v>
      </c>
      <c r="T71" s="489">
        <f>1*1/'ÄNDRINGSBARA PARAMETRAR'!F47*'ÄNDRINGSBARA PARAMETRAR'!F31</f>
        <v>1.3058823529411767</v>
      </c>
      <c r="U71" s="489">
        <f>1*1/'ÄNDRINGSBARA PARAMETRAR'!G47*'ÄNDRINGSBARA PARAMETRAR'!G31</f>
        <v>1.3058823529411767</v>
      </c>
      <c r="V71" s="489">
        <f>1*1/'ÄNDRINGSBARA PARAMETRAR'!H47*'ÄNDRINGSBARA PARAMETRAR'!H31</f>
        <v>1.3058823529411767</v>
      </c>
      <c r="W71" s="489">
        <f>1*1/'ÄNDRINGSBARA PARAMETRAR'!I47*'ÄNDRINGSBARA PARAMETRAR'!I31</f>
        <v>1.3058823529411767</v>
      </c>
      <c r="X71" s="489">
        <f>1*1/'ÄNDRINGSBARA PARAMETRAR'!J47*'ÄNDRINGSBARA PARAMETRAR'!J31</f>
        <v>1.3058823529411767</v>
      </c>
      <c r="Y71" s="489">
        <f>1*1/'ÄNDRINGSBARA PARAMETRAR'!K47*'ÄNDRINGSBARA PARAMETRAR'!K31</f>
        <v>1.3058823529411767</v>
      </c>
      <c r="Z71" s="489">
        <f>1*1/'ÄNDRINGSBARA PARAMETRAR'!L47*'ÄNDRINGSBARA PARAMETRAR'!L31</f>
        <v>1.3058823529411767</v>
      </c>
      <c r="AA71" s="500">
        <f>1*1/'ÄNDRINGSBARA PARAMETRAR'!M47*'ÄNDRINGSBARA PARAMETRAR'!M31</f>
        <v>1.3058823529411767</v>
      </c>
      <c r="AB71" s="27"/>
      <c r="AC71" s="7" t="s">
        <v>352</v>
      </c>
      <c r="AD71" s="55"/>
      <c r="AE71" s="55"/>
      <c r="AF71" s="27"/>
      <c r="AG71" s="28"/>
      <c r="AI71" s="7" t="s">
        <v>345</v>
      </c>
      <c r="AJ71" s="55"/>
      <c r="AK71" s="55"/>
      <c r="AL71" s="27"/>
      <c r="AM71" s="28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101"/>
      <c r="AZ71" s="101"/>
      <c r="BA71" s="101"/>
      <c r="BB71" s="101"/>
      <c r="BC71" s="101"/>
      <c r="BD71" s="101"/>
      <c r="BE71" s="101"/>
      <c r="BF71" s="101"/>
      <c r="BG71" s="101"/>
    </row>
    <row r="72" spans="1:59" s="296" customFormat="1" x14ac:dyDescent="0.2">
      <c r="A72" s="22" t="str">
        <f t="shared" si="69"/>
        <v>HVC bioolja</v>
      </c>
      <c r="B72" s="495">
        <f>1*1/'ÄNDRINGSBARA PARAMETRAR'!B48*'ÄNDRINGSBARA PARAMETRAR'!B17</f>
        <v>0.80000000000000016</v>
      </c>
      <c r="C72" s="495">
        <f>1*1/'ÄNDRINGSBARA PARAMETRAR'!C48*'ÄNDRINGSBARA PARAMETRAR'!C17</f>
        <v>0.80000000000000016</v>
      </c>
      <c r="D72" s="495">
        <f>1*1/'ÄNDRINGSBARA PARAMETRAR'!D48*'ÄNDRINGSBARA PARAMETRAR'!D17</f>
        <v>0.80000000000000016</v>
      </c>
      <c r="E72" s="495">
        <f>1*1/'ÄNDRINGSBARA PARAMETRAR'!E48*'ÄNDRINGSBARA PARAMETRAR'!E17</f>
        <v>0.80000000000000016</v>
      </c>
      <c r="F72" s="495">
        <f>1*1/'ÄNDRINGSBARA PARAMETRAR'!F48*'ÄNDRINGSBARA PARAMETRAR'!F17</f>
        <v>0.80000000000000016</v>
      </c>
      <c r="G72" s="495">
        <f>1*1/'ÄNDRINGSBARA PARAMETRAR'!G48*'ÄNDRINGSBARA PARAMETRAR'!G17</f>
        <v>0.80000000000000016</v>
      </c>
      <c r="H72" s="495">
        <f>1*1/'ÄNDRINGSBARA PARAMETRAR'!H48*'ÄNDRINGSBARA PARAMETRAR'!H17</f>
        <v>0.80000000000000016</v>
      </c>
      <c r="I72" s="495">
        <f>1*1/'ÄNDRINGSBARA PARAMETRAR'!I48*'ÄNDRINGSBARA PARAMETRAR'!I17</f>
        <v>0.80000000000000016</v>
      </c>
      <c r="J72" s="495">
        <f>1*1/'ÄNDRINGSBARA PARAMETRAR'!J48*'ÄNDRINGSBARA PARAMETRAR'!J17</f>
        <v>0.80000000000000016</v>
      </c>
      <c r="K72" s="495">
        <f>1*1/'ÄNDRINGSBARA PARAMETRAR'!K48*'ÄNDRINGSBARA PARAMETRAR'!K17</f>
        <v>0.80000000000000016</v>
      </c>
      <c r="L72" s="495">
        <f>1*1/'ÄNDRINGSBARA PARAMETRAR'!L48*'ÄNDRINGSBARA PARAMETRAR'!L17</f>
        <v>0.80000000000000016</v>
      </c>
      <c r="M72" s="496">
        <f>1*1/'ÄNDRINGSBARA PARAMETRAR'!M48*'ÄNDRINGSBARA PARAMETRAR'!M17</f>
        <v>0.80000000000000016</v>
      </c>
      <c r="O72" s="22" t="str">
        <f>INDATA!A58</f>
        <v>HVC bioolja</v>
      </c>
      <c r="P72" s="489">
        <f>1*1/'ÄNDRINGSBARA PARAMETRAR'!B48*'ÄNDRINGSBARA PARAMETRAR'!B32</f>
        <v>4.4444444444444446E-2</v>
      </c>
      <c r="Q72" s="489">
        <f>1*1/'ÄNDRINGSBARA PARAMETRAR'!C48*'ÄNDRINGSBARA PARAMETRAR'!C32</f>
        <v>4.4444444444444446E-2</v>
      </c>
      <c r="R72" s="489">
        <f>1*1/'ÄNDRINGSBARA PARAMETRAR'!D48*'ÄNDRINGSBARA PARAMETRAR'!D32</f>
        <v>4.4444444444444446E-2</v>
      </c>
      <c r="S72" s="489">
        <f>1*1/'ÄNDRINGSBARA PARAMETRAR'!E48*'ÄNDRINGSBARA PARAMETRAR'!E32</f>
        <v>4.4444444444444446E-2</v>
      </c>
      <c r="T72" s="489">
        <f>1*1/'ÄNDRINGSBARA PARAMETRAR'!F48*'ÄNDRINGSBARA PARAMETRAR'!F32</f>
        <v>4.4444444444444446E-2</v>
      </c>
      <c r="U72" s="489">
        <f>1*1/'ÄNDRINGSBARA PARAMETRAR'!G48*'ÄNDRINGSBARA PARAMETRAR'!G32</f>
        <v>4.4444444444444446E-2</v>
      </c>
      <c r="V72" s="489">
        <f>1*1/'ÄNDRINGSBARA PARAMETRAR'!H48*'ÄNDRINGSBARA PARAMETRAR'!H32</f>
        <v>4.4444444444444446E-2</v>
      </c>
      <c r="W72" s="489">
        <f>1*1/'ÄNDRINGSBARA PARAMETRAR'!I48*'ÄNDRINGSBARA PARAMETRAR'!I32</f>
        <v>4.4444444444444446E-2</v>
      </c>
      <c r="X72" s="489">
        <f>1*1/'ÄNDRINGSBARA PARAMETRAR'!J48*'ÄNDRINGSBARA PARAMETRAR'!J32</f>
        <v>4.4444444444444446E-2</v>
      </c>
      <c r="Y72" s="489">
        <f>1*1/'ÄNDRINGSBARA PARAMETRAR'!K48*'ÄNDRINGSBARA PARAMETRAR'!K32</f>
        <v>4.4444444444444446E-2</v>
      </c>
      <c r="Z72" s="489">
        <f>1*1/'ÄNDRINGSBARA PARAMETRAR'!L48*'ÄNDRINGSBARA PARAMETRAR'!L32</f>
        <v>4.4444444444444446E-2</v>
      </c>
      <c r="AA72" s="500">
        <f>1*1/'ÄNDRINGSBARA PARAMETRAR'!M48*'ÄNDRINGSBARA PARAMETRAR'!M32</f>
        <v>4.4444444444444446E-2</v>
      </c>
      <c r="AB72" s="27"/>
      <c r="AC72" s="7" t="s">
        <v>346</v>
      </c>
      <c r="AD72" s="55"/>
      <c r="AE72" s="55"/>
      <c r="AF72" s="27"/>
      <c r="AG72" s="28"/>
      <c r="AI72" s="7" t="s">
        <v>346</v>
      </c>
      <c r="AJ72" s="55"/>
      <c r="AK72" s="55"/>
      <c r="AL72" s="27"/>
      <c r="AM72" s="28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101"/>
      <c r="AZ72" s="101"/>
      <c r="BA72" s="101"/>
      <c r="BB72" s="101"/>
      <c r="BC72" s="101"/>
      <c r="BD72" s="101"/>
      <c r="BE72" s="101"/>
      <c r="BF72" s="101"/>
      <c r="BG72" s="101"/>
    </row>
    <row r="73" spans="1:59" s="296" customFormat="1" x14ac:dyDescent="0.2">
      <c r="A73" s="22" t="str">
        <f t="shared" si="69"/>
        <v>HVC pellets</v>
      </c>
      <c r="B73" s="495">
        <f>1*1/'ÄNDRINGSBARA PARAMETRAR'!B49*'ÄNDRINGSBARA PARAMETRAR'!B18</f>
        <v>9.9</v>
      </c>
      <c r="C73" s="495">
        <f>1*1/'ÄNDRINGSBARA PARAMETRAR'!C49*'ÄNDRINGSBARA PARAMETRAR'!C18</f>
        <v>9.9</v>
      </c>
      <c r="D73" s="495">
        <f>1*1/'ÄNDRINGSBARA PARAMETRAR'!D49*'ÄNDRINGSBARA PARAMETRAR'!D18</f>
        <v>9.9</v>
      </c>
      <c r="E73" s="495">
        <f>1*1/'ÄNDRINGSBARA PARAMETRAR'!E49*'ÄNDRINGSBARA PARAMETRAR'!E18</f>
        <v>9.9</v>
      </c>
      <c r="F73" s="495">
        <f>1*1/'ÄNDRINGSBARA PARAMETRAR'!F49*'ÄNDRINGSBARA PARAMETRAR'!F18</f>
        <v>9.9</v>
      </c>
      <c r="G73" s="495">
        <f>1*1/'ÄNDRINGSBARA PARAMETRAR'!G49*'ÄNDRINGSBARA PARAMETRAR'!G18</f>
        <v>9.9</v>
      </c>
      <c r="H73" s="495">
        <f>1*1/'ÄNDRINGSBARA PARAMETRAR'!H49*'ÄNDRINGSBARA PARAMETRAR'!H18</f>
        <v>9.9</v>
      </c>
      <c r="I73" s="495">
        <f>1*1/'ÄNDRINGSBARA PARAMETRAR'!I49*'ÄNDRINGSBARA PARAMETRAR'!I18</f>
        <v>9.9</v>
      </c>
      <c r="J73" s="495">
        <f>1*1/'ÄNDRINGSBARA PARAMETRAR'!J49*'ÄNDRINGSBARA PARAMETRAR'!J18</f>
        <v>9.9</v>
      </c>
      <c r="K73" s="495">
        <f>1*1/'ÄNDRINGSBARA PARAMETRAR'!K49*'ÄNDRINGSBARA PARAMETRAR'!K18</f>
        <v>9.9</v>
      </c>
      <c r="L73" s="495">
        <f>1*1/'ÄNDRINGSBARA PARAMETRAR'!L49*'ÄNDRINGSBARA PARAMETRAR'!L18</f>
        <v>9.9</v>
      </c>
      <c r="M73" s="496">
        <f>1*1/'ÄNDRINGSBARA PARAMETRAR'!M49*'ÄNDRINGSBARA PARAMETRAR'!M18</f>
        <v>9.9</v>
      </c>
      <c r="O73" s="22" t="str">
        <f>INDATA!A59</f>
        <v>HVC pellets</v>
      </c>
      <c r="P73" s="489">
        <f>1*1/'ÄNDRINGSBARA PARAMETRAR'!B49*'ÄNDRINGSBARA PARAMETRAR'!B33</f>
        <v>1.3875000000000002</v>
      </c>
      <c r="Q73" s="489">
        <f>1*1/'ÄNDRINGSBARA PARAMETRAR'!C49*'ÄNDRINGSBARA PARAMETRAR'!C33</f>
        <v>1.3875000000000002</v>
      </c>
      <c r="R73" s="489">
        <f>1*1/'ÄNDRINGSBARA PARAMETRAR'!D49*'ÄNDRINGSBARA PARAMETRAR'!D33</f>
        <v>1.3875000000000002</v>
      </c>
      <c r="S73" s="489">
        <f>1*1/'ÄNDRINGSBARA PARAMETRAR'!E49*'ÄNDRINGSBARA PARAMETRAR'!E33</f>
        <v>1.3875000000000002</v>
      </c>
      <c r="T73" s="489">
        <f>1*1/'ÄNDRINGSBARA PARAMETRAR'!F49*'ÄNDRINGSBARA PARAMETRAR'!F33</f>
        <v>1.3875000000000002</v>
      </c>
      <c r="U73" s="489">
        <f>1*1/'ÄNDRINGSBARA PARAMETRAR'!G49*'ÄNDRINGSBARA PARAMETRAR'!G33</f>
        <v>1.3875000000000002</v>
      </c>
      <c r="V73" s="489">
        <f>1*1/'ÄNDRINGSBARA PARAMETRAR'!H49*'ÄNDRINGSBARA PARAMETRAR'!H33</f>
        <v>1.3875000000000002</v>
      </c>
      <c r="W73" s="489">
        <f>1*1/'ÄNDRINGSBARA PARAMETRAR'!I49*'ÄNDRINGSBARA PARAMETRAR'!I33</f>
        <v>1.3875000000000002</v>
      </c>
      <c r="X73" s="489">
        <f>1*1/'ÄNDRINGSBARA PARAMETRAR'!J49*'ÄNDRINGSBARA PARAMETRAR'!J33</f>
        <v>1.3875000000000002</v>
      </c>
      <c r="Y73" s="489">
        <f>1*1/'ÄNDRINGSBARA PARAMETRAR'!K49*'ÄNDRINGSBARA PARAMETRAR'!K33</f>
        <v>1.3875000000000002</v>
      </c>
      <c r="Z73" s="489">
        <f>1*1/'ÄNDRINGSBARA PARAMETRAR'!L49*'ÄNDRINGSBARA PARAMETRAR'!L33</f>
        <v>1.3875000000000002</v>
      </c>
      <c r="AA73" s="500">
        <f>1*1/'ÄNDRINGSBARA PARAMETRAR'!M49*'ÄNDRINGSBARA PARAMETRAR'!M33</f>
        <v>1.3875000000000002</v>
      </c>
      <c r="AB73" s="27"/>
      <c r="AC73" s="7" t="s">
        <v>349</v>
      </c>
      <c r="AD73" s="483"/>
      <c r="AE73" s="55"/>
      <c r="AF73" s="27"/>
      <c r="AG73" s="28"/>
      <c r="AI73" s="7" t="s">
        <v>349</v>
      </c>
      <c r="AJ73" s="483"/>
      <c r="AK73" s="55"/>
      <c r="AL73" s="27"/>
      <c r="AM73" s="28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101"/>
      <c r="AZ73" s="101"/>
      <c r="BA73" s="101"/>
      <c r="BB73" s="101"/>
      <c r="BC73" s="101"/>
      <c r="BD73" s="101"/>
      <c r="BE73" s="101"/>
      <c r="BF73" s="101"/>
      <c r="BG73" s="101"/>
    </row>
    <row r="74" spans="1:59" s="296" customFormat="1" x14ac:dyDescent="0.2">
      <c r="A74" s="22" t="str">
        <f t="shared" si="69"/>
        <v>KVV avfall</v>
      </c>
      <c r="B74" s="499">
        <f>((1+'ÄNDRINGSBARA PARAMETRAR'!B65)/'ÄNDRINGSBARA PARAMETRAR'!B50*'ÄNDRINGSBARA PARAMETRAR'!B19)-('ÄNDRINGSBARA PARAMETRAR'!B65*'ÄNDRINGSBARA PARAMETRAR'!B$21)</f>
        <v>-171.20000000000002</v>
      </c>
      <c r="C74" s="499">
        <f>((1+'ÄNDRINGSBARA PARAMETRAR'!C65)/'ÄNDRINGSBARA PARAMETRAR'!C50*'ÄNDRINGSBARA PARAMETRAR'!C19)-('ÄNDRINGSBARA PARAMETRAR'!C65*'ÄNDRINGSBARA PARAMETRAR'!C$21)</f>
        <v>-171.20000000000002</v>
      </c>
      <c r="D74" s="499">
        <f>((1+'ÄNDRINGSBARA PARAMETRAR'!D65)/'ÄNDRINGSBARA PARAMETRAR'!D50*'ÄNDRINGSBARA PARAMETRAR'!D19)-('ÄNDRINGSBARA PARAMETRAR'!D65*'ÄNDRINGSBARA PARAMETRAR'!D$21)</f>
        <v>-171.20000000000002</v>
      </c>
      <c r="E74" s="499">
        <f>((1+'ÄNDRINGSBARA PARAMETRAR'!E65)/'ÄNDRINGSBARA PARAMETRAR'!E50*'ÄNDRINGSBARA PARAMETRAR'!E19)-('ÄNDRINGSBARA PARAMETRAR'!E65*'ÄNDRINGSBARA PARAMETRAR'!E$21)</f>
        <v>-171.20000000000002</v>
      </c>
      <c r="F74" s="499">
        <f>((1+'ÄNDRINGSBARA PARAMETRAR'!F65)/'ÄNDRINGSBARA PARAMETRAR'!F50*'ÄNDRINGSBARA PARAMETRAR'!F19)-('ÄNDRINGSBARA PARAMETRAR'!F65*'ÄNDRINGSBARA PARAMETRAR'!F$21)</f>
        <v>-171.20000000000002</v>
      </c>
      <c r="G74" s="499">
        <f>((1+'ÄNDRINGSBARA PARAMETRAR'!G65)/'ÄNDRINGSBARA PARAMETRAR'!G50*'ÄNDRINGSBARA PARAMETRAR'!G19)-('ÄNDRINGSBARA PARAMETRAR'!G65*'ÄNDRINGSBARA PARAMETRAR'!G$21)</f>
        <v>-171.20000000000002</v>
      </c>
      <c r="H74" s="499">
        <f>((1+'ÄNDRINGSBARA PARAMETRAR'!H65)/'ÄNDRINGSBARA PARAMETRAR'!H50*'ÄNDRINGSBARA PARAMETRAR'!H19)-('ÄNDRINGSBARA PARAMETRAR'!H65*'ÄNDRINGSBARA PARAMETRAR'!H$21)</f>
        <v>-171.20000000000002</v>
      </c>
      <c r="I74" s="499">
        <f>((1+'ÄNDRINGSBARA PARAMETRAR'!I65)/'ÄNDRINGSBARA PARAMETRAR'!I50*'ÄNDRINGSBARA PARAMETRAR'!I19)-('ÄNDRINGSBARA PARAMETRAR'!I65*'ÄNDRINGSBARA PARAMETRAR'!I$21)</f>
        <v>-171.20000000000002</v>
      </c>
      <c r="J74" s="499">
        <f>((1+'ÄNDRINGSBARA PARAMETRAR'!J65)/'ÄNDRINGSBARA PARAMETRAR'!J50*'ÄNDRINGSBARA PARAMETRAR'!J19)-('ÄNDRINGSBARA PARAMETRAR'!J65*'ÄNDRINGSBARA PARAMETRAR'!J$21)</f>
        <v>-171.20000000000002</v>
      </c>
      <c r="K74" s="499">
        <f>((1+'ÄNDRINGSBARA PARAMETRAR'!K65)/'ÄNDRINGSBARA PARAMETRAR'!K50*'ÄNDRINGSBARA PARAMETRAR'!K19)-('ÄNDRINGSBARA PARAMETRAR'!K65*'ÄNDRINGSBARA PARAMETRAR'!K$21)</f>
        <v>-171.20000000000002</v>
      </c>
      <c r="L74" s="499">
        <f>((1+'ÄNDRINGSBARA PARAMETRAR'!L65)/'ÄNDRINGSBARA PARAMETRAR'!L50*'ÄNDRINGSBARA PARAMETRAR'!L19)-('ÄNDRINGSBARA PARAMETRAR'!L65*'ÄNDRINGSBARA PARAMETRAR'!L$21)</f>
        <v>-171.20000000000002</v>
      </c>
      <c r="M74" s="499">
        <f>((1+'ÄNDRINGSBARA PARAMETRAR'!M65)/'ÄNDRINGSBARA PARAMETRAR'!M50*'ÄNDRINGSBARA PARAMETRAR'!M19)-('ÄNDRINGSBARA PARAMETRAR'!M65*'ÄNDRINGSBARA PARAMETRAR'!M$21)</f>
        <v>-171.20000000000002</v>
      </c>
      <c r="O74" s="22" t="str">
        <f>INDATA!A60</f>
        <v>KVV avfall</v>
      </c>
      <c r="P74" s="485">
        <f>((1+'ÄNDRINGSBARA PARAMETRAR'!B65)/'ÄNDRINGSBARA PARAMETRAR'!B50*'ÄNDRINGSBARA PARAMETRAR'!B34)-('ÄNDRINGSBARA PARAMETRAR'!B65*'ÄNDRINGSBARA PARAMETRAR'!B$36)</f>
        <v>-1.0041379310344827</v>
      </c>
      <c r="Q74" s="485">
        <f>((1+'ÄNDRINGSBARA PARAMETRAR'!C65)/'ÄNDRINGSBARA PARAMETRAR'!C50*'ÄNDRINGSBARA PARAMETRAR'!C34)-('ÄNDRINGSBARA PARAMETRAR'!C65*'ÄNDRINGSBARA PARAMETRAR'!C$36)</f>
        <v>-1.0041379310344827</v>
      </c>
      <c r="R74" s="485">
        <f>((1+'ÄNDRINGSBARA PARAMETRAR'!D65)/'ÄNDRINGSBARA PARAMETRAR'!D50*'ÄNDRINGSBARA PARAMETRAR'!D34)-('ÄNDRINGSBARA PARAMETRAR'!D65*'ÄNDRINGSBARA PARAMETRAR'!D$36)</f>
        <v>-1.0041379310344827</v>
      </c>
      <c r="S74" s="485">
        <f>((1+'ÄNDRINGSBARA PARAMETRAR'!E65)/'ÄNDRINGSBARA PARAMETRAR'!E50*'ÄNDRINGSBARA PARAMETRAR'!E34)-('ÄNDRINGSBARA PARAMETRAR'!E65*'ÄNDRINGSBARA PARAMETRAR'!E$36)</f>
        <v>-1.0041379310344827</v>
      </c>
      <c r="T74" s="485">
        <f>((1+'ÄNDRINGSBARA PARAMETRAR'!F65)/'ÄNDRINGSBARA PARAMETRAR'!F50*'ÄNDRINGSBARA PARAMETRAR'!F34)-('ÄNDRINGSBARA PARAMETRAR'!F65*'ÄNDRINGSBARA PARAMETRAR'!F$36)</f>
        <v>-1.0041379310344827</v>
      </c>
      <c r="U74" s="485">
        <f>((1+'ÄNDRINGSBARA PARAMETRAR'!G65)/'ÄNDRINGSBARA PARAMETRAR'!G50*'ÄNDRINGSBARA PARAMETRAR'!G34)-('ÄNDRINGSBARA PARAMETRAR'!G65*'ÄNDRINGSBARA PARAMETRAR'!G$36)</f>
        <v>-1.0041379310344827</v>
      </c>
      <c r="V74" s="485">
        <f>((1+'ÄNDRINGSBARA PARAMETRAR'!H65)/'ÄNDRINGSBARA PARAMETRAR'!H50*'ÄNDRINGSBARA PARAMETRAR'!H34)-('ÄNDRINGSBARA PARAMETRAR'!H65*'ÄNDRINGSBARA PARAMETRAR'!H$36)</f>
        <v>-1.0041379310344827</v>
      </c>
      <c r="W74" s="485">
        <f>((1+'ÄNDRINGSBARA PARAMETRAR'!I65)/'ÄNDRINGSBARA PARAMETRAR'!I50*'ÄNDRINGSBARA PARAMETRAR'!I34)-('ÄNDRINGSBARA PARAMETRAR'!I65*'ÄNDRINGSBARA PARAMETRAR'!I$36)</f>
        <v>-1.0041379310344827</v>
      </c>
      <c r="X74" s="485">
        <f>((1+'ÄNDRINGSBARA PARAMETRAR'!J65)/'ÄNDRINGSBARA PARAMETRAR'!J50*'ÄNDRINGSBARA PARAMETRAR'!J34)-('ÄNDRINGSBARA PARAMETRAR'!J65*'ÄNDRINGSBARA PARAMETRAR'!J$36)</f>
        <v>-1.0041379310344827</v>
      </c>
      <c r="Y74" s="485">
        <f>((1+'ÄNDRINGSBARA PARAMETRAR'!K65)/'ÄNDRINGSBARA PARAMETRAR'!K50*'ÄNDRINGSBARA PARAMETRAR'!K34)-('ÄNDRINGSBARA PARAMETRAR'!K65*'ÄNDRINGSBARA PARAMETRAR'!K$36)</f>
        <v>-1.0041379310344827</v>
      </c>
      <c r="Z74" s="485">
        <f>((1+'ÄNDRINGSBARA PARAMETRAR'!L65)/'ÄNDRINGSBARA PARAMETRAR'!L50*'ÄNDRINGSBARA PARAMETRAR'!L34)-('ÄNDRINGSBARA PARAMETRAR'!L65*'ÄNDRINGSBARA PARAMETRAR'!L$36)</f>
        <v>-1.0041379310344827</v>
      </c>
      <c r="AA74" s="485">
        <f>((1+'ÄNDRINGSBARA PARAMETRAR'!M65)/'ÄNDRINGSBARA PARAMETRAR'!M50*'ÄNDRINGSBARA PARAMETRAR'!M34)-('ÄNDRINGSBARA PARAMETRAR'!M65*'ÄNDRINGSBARA PARAMETRAR'!M$36)</f>
        <v>-1.0041379310344827</v>
      </c>
      <c r="AB74" s="27"/>
      <c r="AC74" s="7" t="s">
        <v>353</v>
      </c>
      <c r="AD74" s="55"/>
      <c r="AE74" s="55"/>
      <c r="AF74" s="27"/>
      <c r="AG74" s="28"/>
      <c r="AI74" s="7" t="s">
        <v>347</v>
      </c>
      <c r="AJ74" s="55"/>
      <c r="AK74" s="55"/>
      <c r="AL74" s="27"/>
      <c r="AM74" s="28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101"/>
      <c r="AZ74" s="101"/>
      <c r="BA74" s="101"/>
      <c r="BB74" s="101"/>
      <c r="BC74" s="101"/>
      <c r="BD74" s="101"/>
      <c r="BE74" s="101"/>
      <c r="BF74" s="101"/>
      <c r="BG74" s="101"/>
    </row>
    <row r="75" spans="1:59" s="296" customFormat="1" x14ac:dyDescent="0.2">
      <c r="A75" s="22" t="str">
        <f t="shared" si="69"/>
        <v>KVV grot</v>
      </c>
      <c r="B75" s="499">
        <f>((1+'ÄNDRINGSBARA PARAMETRAR'!B66)/'ÄNDRINGSBARA PARAMETRAR'!B51*'ÄNDRINGSBARA PARAMETRAR'!B20)-('ÄNDRINGSBARA PARAMETRAR'!B66*'ÄNDRINGSBARA PARAMETRAR'!B$21)</f>
        <v>-343.04</v>
      </c>
      <c r="C75" s="499">
        <f>((1+'ÄNDRINGSBARA PARAMETRAR'!C66)/'ÄNDRINGSBARA PARAMETRAR'!C51*'ÄNDRINGSBARA PARAMETRAR'!C20)-('ÄNDRINGSBARA PARAMETRAR'!C66*'ÄNDRINGSBARA PARAMETRAR'!C$21)</f>
        <v>-343.04</v>
      </c>
      <c r="D75" s="499">
        <f>((1+'ÄNDRINGSBARA PARAMETRAR'!D66)/'ÄNDRINGSBARA PARAMETRAR'!D51*'ÄNDRINGSBARA PARAMETRAR'!D20)-('ÄNDRINGSBARA PARAMETRAR'!D66*'ÄNDRINGSBARA PARAMETRAR'!D$21)</f>
        <v>-343.04</v>
      </c>
      <c r="E75" s="499">
        <f>((1+'ÄNDRINGSBARA PARAMETRAR'!E66)/'ÄNDRINGSBARA PARAMETRAR'!E51*'ÄNDRINGSBARA PARAMETRAR'!E20)-('ÄNDRINGSBARA PARAMETRAR'!E66*'ÄNDRINGSBARA PARAMETRAR'!E$21)</f>
        <v>-343.04</v>
      </c>
      <c r="F75" s="499">
        <f>((1+'ÄNDRINGSBARA PARAMETRAR'!F66)/'ÄNDRINGSBARA PARAMETRAR'!F51*'ÄNDRINGSBARA PARAMETRAR'!F20)-('ÄNDRINGSBARA PARAMETRAR'!F66*'ÄNDRINGSBARA PARAMETRAR'!F$21)</f>
        <v>-343.04</v>
      </c>
      <c r="G75" s="499">
        <f>((1+'ÄNDRINGSBARA PARAMETRAR'!G66)/'ÄNDRINGSBARA PARAMETRAR'!G51*'ÄNDRINGSBARA PARAMETRAR'!G20)-('ÄNDRINGSBARA PARAMETRAR'!G66*'ÄNDRINGSBARA PARAMETRAR'!G$21)</f>
        <v>-343.04</v>
      </c>
      <c r="H75" s="499">
        <f>((1+'ÄNDRINGSBARA PARAMETRAR'!H66)/'ÄNDRINGSBARA PARAMETRAR'!H51*'ÄNDRINGSBARA PARAMETRAR'!H20)-('ÄNDRINGSBARA PARAMETRAR'!H66*'ÄNDRINGSBARA PARAMETRAR'!H$21)</f>
        <v>-343.04</v>
      </c>
      <c r="I75" s="499">
        <f>((1+'ÄNDRINGSBARA PARAMETRAR'!I66)/'ÄNDRINGSBARA PARAMETRAR'!I51*'ÄNDRINGSBARA PARAMETRAR'!I20)-('ÄNDRINGSBARA PARAMETRAR'!I66*'ÄNDRINGSBARA PARAMETRAR'!I$21)</f>
        <v>-343.04</v>
      </c>
      <c r="J75" s="499">
        <f>((1+'ÄNDRINGSBARA PARAMETRAR'!J66)/'ÄNDRINGSBARA PARAMETRAR'!J51*'ÄNDRINGSBARA PARAMETRAR'!J20)-('ÄNDRINGSBARA PARAMETRAR'!J66*'ÄNDRINGSBARA PARAMETRAR'!J$21)</f>
        <v>-343.04</v>
      </c>
      <c r="K75" s="499">
        <f>((1+'ÄNDRINGSBARA PARAMETRAR'!K66)/'ÄNDRINGSBARA PARAMETRAR'!K51*'ÄNDRINGSBARA PARAMETRAR'!K20)-('ÄNDRINGSBARA PARAMETRAR'!K66*'ÄNDRINGSBARA PARAMETRAR'!K$21)</f>
        <v>-343.04</v>
      </c>
      <c r="L75" s="499">
        <f>((1+'ÄNDRINGSBARA PARAMETRAR'!L66)/'ÄNDRINGSBARA PARAMETRAR'!L51*'ÄNDRINGSBARA PARAMETRAR'!L20)-('ÄNDRINGSBARA PARAMETRAR'!L66*'ÄNDRINGSBARA PARAMETRAR'!L$21)</f>
        <v>-343.04</v>
      </c>
      <c r="M75" s="499">
        <f>((1+'ÄNDRINGSBARA PARAMETRAR'!M66)/'ÄNDRINGSBARA PARAMETRAR'!M51*'ÄNDRINGSBARA PARAMETRAR'!M20)-('ÄNDRINGSBARA PARAMETRAR'!M66*'ÄNDRINGSBARA PARAMETRAR'!M$21)</f>
        <v>-343.04</v>
      </c>
      <c r="O75" s="22" t="str">
        <f>INDATA!A61</f>
        <v>KVV grot</v>
      </c>
      <c r="P75" s="485">
        <f>((1+'ÄNDRINGSBARA PARAMETRAR'!B66)/'ÄNDRINGSBARA PARAMETRAR'!B51*'ÄNDRINGSBARA PARAMETRAR'!B35)-('ÄNDRINGSBARA PARAMETRAR'!B66*'ÄNDRINGSBARA PARAMETRAR'!B$36)</f>
        <v>-1.0174712643678159</v>
      </c>
      <c r="Q75" s="485">
        <f>((1+'ÄNDRINGSBARA PARAMETRAR'!C66)/'ÄNDRINGSBARA PARAMETRAR'!C51*'ÄNDRINGSBARA PARAMETRAR'!C35)-('ÄNDRINGSBARA PARAMETRAR'!C66*'ÄNDRINGSBARA PARAMETRAR'!C$36)</f>
        <v>-1.0174712643678159</v>
      </c>
      <c r="R75" s="485">
        <f>((1+'ÄNDRINGSBARA PARAMETRAR'!D66)/'ÄNDRINGSBARA PARAMETRAR'!D51*'ÄNDRINGSBARA PARAMETRAR'!D35)-('ÄNDRINGSBARA PARAMETRAR'!D66*'ÄNDRINGSBARA PARAMETRAR'!D$36)</f>
        <v>-1.0174712643678159</v>
      </c>
      <c r="S75" s="485">
        <f>((1+'ÄNDRINGSBARA PARAMETRAR'!E66)/'ÄNDRINGSBARA PARAMETRAR'!E51*'ÄNDRINGSBARA PARAMETRAR'!E35)-('ÄNDRINGSBARA PARAMETRAR'!E66*'ÄNDRINGSBARA PARAMETRAR'!E$36)</f>
        <v>-1.0174712643678159</v>
      </c>
      <c r="T75" s="485">
        <f>((1+'ÄNDRINGSBARA PARAMETRAR'!F66)/'ÄNDRINGSBARA PARAMETRAR'!F51*'ÄNDRINGSBARA PARAMETRAR'!F35)-('ÄNDRINGSBARA PARAMETRAR'!F66*'ÄNDRINGSBARA PARAMETRAR'!F$36)</f>
        <v>-1.0174712643678159</v>
      </c>
      <c r="U75" s="485">
        <f>((1+'ÄNDRINGSBARA PARAMETRAR'!G66)/'ÄNDRINGSBARA PARAMETRAR'!G51*'ÄNDRINGSBARA PARAMETRAR'!G35)-('ÄNDRINGSBARA PARAMETRAR'!G66*'ÄNDRINGSBARA PARAMETRAR'!G$36)</f>
        <v>-1.0174712643678159</v>
      </c>
      <c r="V75" s="485">
        <f>((1+'ÄNDRINGSBARA PARAMETRAR'!H66)/'ÄNDRINGSBARA PARAMETRAR'!H51*'ÄNDRINGSBARA PARAMETRAR'!H35)-('ÄNDRINGSBARA PARAMETRAR'!H66*'ÄNDRINGSBARA PARAMETRAR'!H$36)</f>
        <v>-1.0174712643678159</v>
      </c>
      <c r="W75" s="485">
        <f>((1+'ÄNDRINGSBARA PARAMETRAR'!I66)/'ÄNDRINGSBARA PARAMETRAR'!I51*'ÄNDRINGSBARA PARAMETRAR'!I35)-('ÄNDRINGSBARA PARAMETRAR'!I66*'ÄNDRINGSBARA PARAMETRAR'!I$36)</f>
        <v>-1.0174712643678159</v>
      </c>
      <c r="X75" s="485">
        <f>((1+'ÄNDRINGSBARA PARAMETRAR'!J66)/'ÄNDRINGSBARA PARAMETRAR'!J51*'ÄNDRINGSBARA PARAMETRAR'!J35)-('ÄNDRINGSBARA PARAMETRAR'!J66*'ÄNDRINGSBARA PARAMETRAR'!J$36)</f>
        <v>-1.0174712643678159</v>
      </c>
      <c r="Y75" s="485">
        <f>((1+'ÄNDRINGSBARA PARAMETRAR'!K66)/'ÄNDRINGSBARA PARAMETRAR'!K51*'ÄNDRINGSBARA PARAMETRAR'!K35)-('ÄNDRINGSBARA PARAMETRAR'!K66*'ÄNDRINGSBARA PARAMETRAR'!K$36)</f>
        <v>-1.0174712643678159</v>
      </c>
      <c r="Z75" s="485">
        <f>((1+'ÄNDRINGSBARA PARAMETRAR'!L66)/'ÄNDRINGSBARA PARAMETRAR'!L51*'ÄNDRINGSBARA PARAMETRAR'!L35)-('ÄNDRINGSBARA PARAMETRAR'!L66*'ÄNDRINGSBARA PARAMETRAR'!L$36)</f>
        <v>-1.0174712643678159</v>
      </c>
      <c r="AA75" s="485">
        <f>((1+'ÄNDRINGSBARA PARAMETRAR'!M66)/'ÄNDRINGSBARA PARAMETRAR'!M51*'ÄNDRINGSBARA PARAMETRAR'!M35)-('ÄNDRINGSBARA PARAMETRAR'!M66*'ÄNDRINGSBARA PARAMETRAR'!M$36)</f>
        <v>-1.0174712643678159</v>
      </c>
      <c r="AB75" s="27"/>
      <c r="AC75" s="156" t="s">
        <v>354</v>
      </c>
      <c r="AD75" s="199"/>
      <c r="AE75" s="199"/>
      <c r="AF75" s="10"/>
      <c r="AG75" s="11"/>
      <c r="AI75" s="156" t="s">
        <v>350</v>
      </c>
      <c r="AJ75" s="199"/>
      <c r="AK75" s="199"/>
      <c r="AL75" s="10"/>
      <c r="AM75" s="11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101"/>
      <c r="AZ75" s="101"/>
      <c r="BA75" s="101"/>
      <c r="BB75" s="101"/>
      <c r="BC75" s="101"/>
      <c r="BD75" s="101"/>
      <c r="BE75" s="101"/>
      <c r="BF75" s="101"/>
      <c r="BG75" s="101"/>
    </row>
    <row r="76" spans="1:59" s="296" customFormat="1" x14ac:dyDescent="0.2">
      <c r="A76" s="22" t="str">
        <f t="shared" si="69"/>
        <v>Värmepump COP3</v>
      </c>
      <c r="B76" s="495">
        <f>1*1/'ÄNDRINGSBARA PARAMETRAR'!B52*'ÄNDRINGSBARA PARAMETRAR'!B21</f>
        <v>294.66666666666663</v>
      </c>
      <c r="C76" s="495">
        <f>1*1/'ÄNDRINGSBARA PARAMETRAR'!C52*'ÄNDRINGSBARA PARAMETRAR'!C21</f>
        <v>294.66666666666663</v>
      </c>
      <c r="D76" s="495">
        <f>1*1/'ÄNDRINGSBARA PARAMETRAR'!D52*'ÄNDRINGSBARA PARAMETRAR'!D21</f>
        <v>294.66666666666663</v>
      </c>
      <c r="E76" s="495">
        <f>1*1/'ÄNDRINGSBARA PARAMETRAR'!E52*'ÄNDRINGSBARA PARAMETRAR'!E21</f>
        <v>294.66666666666663</v>
      </c>
      <c r="F76" s="495">
        <f>1*1/'ÄNDRINGSBARA PARAMETRAR'!F52*'ÄNDRINGSBARA PARAMETRAR'!F21</f>
        <v>294.66666666666663</v>
      </c>
      <c r="G76" s="495">
        <f>1*1/'ÄNDRINGSBARA PARAMETRAR'!G52*'ÄNDRINGSBARA PARAMETRAR'!G21</f>
        <v>294.66666666666663</v>
      </c>
      <c r="H76" s="495">
        <f>1*1/'ÄNDRINGSBARA PARAMETRAR'!H52*'ÄNDRINGSBARA PARAMETRAR'!H21</f>
        <v>294.66666666666663</v>
      </c>
      <c r="I76" s="495">
        <f>1*1/'ÄNDRINGSBARA PARAMETRAR'!I52*'ÄNDRINGSBARA PARAMETRAR'!I21</f>
        <v>294.66666666666663</v>
      </c>
      <c r="J76" s="495">
        <f>1*1/'ÄNDRINGSBARA PARAMETRAR'!J52*'ÄNDRINGSBARA PARAMETRAR'!J21</f>
        <v>294.66666666666663</v>
      </c>
      <c r="K76" s="495">
        <f>1*1/'ÄNDRINGSBARA PARAMETRAR'!K52*'ÄNDRINGSBARA PARAMETRAR'!K21</f>
        <v>294.66666666666663</v>
      </c>
      <c r="L76" s="495">
        <f>1*1/'ÄNDRINGSBARA PARAMETRAR'!L52*'ÄNDRINGSBARA PARAMETRAR'!L21</f>
        <v>294.66666666666663</v>
      </c>
      <c r="M76" s="496">
        <f>1*1/'ÄNDRINGSBARA PARAMETRAR'!M52*'ÄNDRINGSBARA PARAMETRAR'!M21</f>
        <v>294.66666666666663</v>
      </c>
      <c r="O76" s="22" t="str">
        <f>INDATA!A62</f>
        <v>Värmepump COP3</v>
      </c>
      <c r="P76" s="489">
        <f>1*1/'ÄNDRINGSBARA PARAMETRAR'!B52*'ÄNDRINGSBARA PARAMETRAR'!B36</f>
        <v>0.88122605363984663</v>
      </c>
      <c r="Q76" s="489">
        <f>1*1/'ÄNDRINGSBARA PARAMETRAR'!C52*'ÄNDRINGSBARA PARAMETRAR'!C36</f>
        <v>0.88122605363984663</v>
      </c>
      <c r="R76" s="489">
        <f>1*1/'ÄNDRINGSBARA PARAMETRAR'!D52*'ÄNDRINGSBARA PARAMETRAR'!D36</f>
        <v>0.88122605363984663</v>
      </c>
      <c r="S76" s="489">
        <f>1*1/'ÄNDRINGSBARA PARAMETRAR'!E52*'ÄNDRINGSBARA PARAMETRAR'!E36</f>
        <v>0.88122605363984663</v>
      </c>
      <c r="T76" s="489">
        <f>1*1/'ÄNDRINGSBARA PARAMETRAR'!F52*'ÄNDRINGSBARA PARAMETRAR'!F36</f>
        <v>0.88122605363984663</v>
      </c>
      <c r="U76" s="489">
        <f>1*1/'ÄNDRINGSBARA PARAMETRAR'!G52*'ÄNDRINGSBARA PARAMETRAR'!G36</f>
        <v>0.88122605363984663</v>
      </c>
      <c r="V76" s="489">
        <f>1*1/'ÄNDRINGSBARA PARAMETRAR'!H52*'ÄNDRINGSBARA PARAMETRAR'!H36</f>
        <v>0.88122605363984663</v>
      </c>
      <c r="W76" s="489">
        <f>1*1/'ÄNDRINGSBARA PARAMETRAR'!I52*'ÄNDRINGSBARA PARAMETRAR'!I36</f>
        <v>0.88122605363984663</v>
      </c>
      <c r="X76" s="489">
        <f>1*1/'ÄNDRINGSBARA PARAMETRAR'!J52*'ÄNDRINGSBARA PARAMETRAR'!J36</f>
        <v>0.88122605363984663</v>
      </c>
      <c r="Y76" s="489">
        <f>1*1/'ÄNDRINGSBARA PARAMETRAR'!K52*'ÄNDRINGSBARA PARAMETRAR'!K36</f>
        <v>0.88122605363984663</v>
      </c>
      <c r="Z76" s="489">
        <f>1*1/'ÄNDRINGSBARA PARAMETRAR'!L52*'ÄNDRINGSBARA PARAMETRAR'!L36</f>
        <v>0.88122605363984663</v>
      </c>
      <c r="AA76" s="500">
        <f>1*1/'ÄNDRINGSBARA PARAMETRAR'!M52*'ÄNDRINGSBARA PARAMETRAR'!M36</f>
        <v>0.88122605363984663</v>
      </c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101"/>
      <c r="AZ76" s="101"/>
      <c r="BA76" s="101"/>
      <c r="BB76" s="101"/>
      <c r="BC76" s="101"/>
      <c r="BD76" s="101"/>
      <c r="BE76" s="101"/>
      <c r="BF76" s="101"/>
      <c r="BG76" s="101"/>
    </row>
    <row r="77" spans="1:59" s="296" customFormat="1" x14ac:dyDescent="0.2">
      <c r="A77" s="22" t="str">
        <f t="shared" si="69"/>
        <v>Spillvärme industri</v>
      </c>
      <c r="B77" s="495">
        <f>1*1/'ÄNDRINGSBARA PARAMETRAR'!B53*'ÄNDRINGSBARA PARAMETRAR'!B22</f>
        <v>0</v>
      </c>
      <c r="C77" s="495">
        <f>1*1/'ÄNDRINGSBARA PARAMETRAR'!C53*'ÄNDRINGSBARA PARAMETRAR'!C22</f>
        <v>0</v>
      </c>
      <c r="D77" s="495">
        <f>1*1/'ÄNDRINGSBARA PARAMETRAR'!D53*'ÄNDRINGSBARA PARAMETRAR'!D22</f>
        <v>0</v>
      </c>
      <c r="E77" s="495">
        <f>1*1/'ÄNDRINGSBARA PARAMETRAR'!E53*'ÄNDRINGSBARA PARAMETRAR'!E22</f>
        <v>0</v>
      </c>
      <c r="F77" s="495">
        <f>1*1/'ÄNDRINGSBARA PARAMETRAR'!F53*'ÄNDRINGSBARA PARAMETRAR'!F22</f>
        <v>0</v>
      </c>
      <c r="G77" s="495">
        <f>1*1/'ÄNDRINGSBARA PARAMETRAR'!G53*'ÄNDRINGSBARA PARAMETRAR'!G22</f>
        <v>0</v>
      </c>
      <c r="H77" s="495">
        <f>1*1/'ÄNDRINGSBARA PARAMETRAR'!H53*'ÄNDRINGSBARA PARAMETRAR'!H22</f>
        <v>0</v>
      </c>
      <c r="I77" s="495">
        <f>1*1/'ÄNDRINGSBARA PARAMETRAR'!I53*'ÄNDRINGSBARA PARAMETRAR'!I22</f>
        <v>0</v>
      </c>
      <c r="J77" s="495">
        <f>1*1/'ÄNDRINGSBARA PARAMETRAR'!J53*'ÄNDRINGSBARA PARAMETRAR'!J22</f>
        <v>0</v>
      </c>
      <c r="K77" s="495">
        <f>1*1/'ÄNDRINGSBARA PARAMETRAR'!K53*'ÄNDRINGSBARA PARAMETRAR'!K22</f>
        <v>0</v>
      </c>
      <c r="L77" s="495">
        <f>1*1/'ÄNDRINGSBARA PARAMETRAR'!L53*'ÄNDRINGSBARA PARAMETRAR'!L22</f>
        <v>0</v>
      </c>
      <c r="M77" s="496">
        <f>1*1/'ÄNDRINGSBARA PARAMETRAR'!M53*'ÄNDRINGSBARA PARAMETRAR'!M22</f>
        <v>0</v>
      </c>
      <c r="O77" s="22" t="str">
        <f>INDATA!A63</f>
        <v>Spillvärme industri</v>
      </c>
      <c r="P77" s="489">
        <f>1*1/'ÄNDRINGSBARA PARAMETRAR'!B53*'ÄNDRINGSBARA PARAMETRAR'!B37</f>
        <v>0</v>
      </c>
      <c r="Q77" s="489">
        <f>1*1/'ÄNDRINGSBARA PARAMETRAR'!C53*'ÄNDRINGSBARA PARAMETRAR'!C37</f>
        <v>0</v>
      </c>
      <c r="R77" s="489">
        <f>1*1/'ÄNDRINGSBARA PARAMETRAR'!D53*'ÄNDRINGSBARA PARAMETRAR'!D37</f>
        <v>0</v>
      </c>
      <c r="S77" s="489">
        <f>1*1/'ÄNDRINGSBARA PARAMETRAR'!E53*'ÄNDRINGSBARA PARAMETRAR'!E37</f>
        <v>0</v>
      </c>
      <c r="T77" s="489">
        <f>1*1/'ÄNDRINGSBARA PARAMETRAR'!F53*'ÄNDRINGSBARA PARAMETRAR'!F37</f>
        <v>0</v>
      </c>
      <c r="U77" s="489">
        <f>1*1/'ÄNDRINGSBARA PARAMETRAR'!G53*'ÄNDRINGSBARA PARAMETRAR'!G37</f>
        <v>0</v>
      </c>
      <c r="V77" s="489">
        <f>1*1/'ÄNDRINGSBARA PARAMETRAR'!H53*'ÄNDRINGSBARA PARAMETRAR'!H37</f>
        <v>0</v>
      </c>
      <c r="W77" s="489">
        <f>1*1/'ÄNDRINGSBARA PARAMETRAR'!I53*'ÄNDRINGSBARA PARAMETRAR'!I37</f>
        <v>0</v>
      </c>
      <c r="X77" s="489">
        <f>1*1/'ÄNDRINGSBARA PARAMETRAR'!J53*'ÄNDRINGSBARA PARAMETRAR'!J37</f>
        <v>0</v>
      </c>
      <c r="Y77" s="489">
        <f>1*1/'ÄNDRINGSBARA PARAMETRAR'!K53*'ÄNDRINGSBARA PARAMETRAR'!K37</f>
        <v>0</v>
      </c>
      <c r="Z77" s="489">
        <f>1*1/'ÄNDRINGSBARA PARAMETRAR'!L53*'ÄNDRINGSBARA PARAMETRAR'!L37</f>
        <v>0</v>
      </c>
      <c r="AA77" s="500">
        <f>1*1/'ÄNDRINGSBARA PARAMETRAR'!M53*'ÄNDRINGSBARA PARAMETRAR'!M37</f>
        <v>0</v>
      </c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101"/>
      <c r="AZ77" s="101"/>
      <c r="BA77" s="101"/>
      <c r="BB77" s="101"/>
      <c r="BC77" s="101"/>
      <c r="BD77" s="101"/>
      <c r="BE77" s="101"/>
      <c r="BF77" s="101"/>
      <c r="BG77" s="101"/>
    </row>
    <row r="78" spans="1:59" s="296" customFormat="1" x14ac:dyDescent="0.2">
      <c r="A78" s="22" t="str">
        <f t="shared" si="69"/>
        <v>HVC Gas</v>
      </c>
      <c r="B78" s="499">
        <f>((1+'ÄNDRINGSBARA PARAMETRAR'!B69)/'ÄNDRINGSBARA PARAMETRAR'!B54*'ÄNDRINGSBARA PARAMETRAR'!B23)-('ÄNDRINGSBARA PARAMETRAR'!B69*'ÄNDRINGSBARA PARAMETRAR'!B$21)</f>
        <v>276</v>
      </c>
      <c r="C78" s="499">
        <f>((1+'ÄNDRINGSBARA PARAMETRAR'!C69)/'ÄNDRINGSBARA PARAMETRAR'!C54*'ÄNDRINGSBARA PARAMETRAR'!C23)-('ÄNDRINGSBARA PARAMETRAR'!C69*'ÄNDRINGSBARA PARAMETRAR'!C$21)</f>
        <v>276</v>
      </c>
      <c r="D78" s="499">
        <f>((1+'ÄNDRINGSBARA PARAMETRAR'!D69)/'ÄNDRINGSBARA PARAMETRAR'!D54*'ÄNDRINGSBARA PARAMETRAR'!D23)-('ÄNDRINGSBARA PARAMETRAR'!D69*'ÄNDRINGSBARA PARAMETRAR'!D$21)</f>
        <v>276</v>
      </c>
      <c r="E78" s="499">
        <f>((1+'ÄNDRINGSBARA PARAMETRAR'!E69)/'ÄNDRINGSBARA PARAMETRAR'!E54*'ÄNDRINGSBARA PARAMETRAR'!E23)-('ÄNDRINGSBARA PARAMETRAR'!E69*'ÄNDRINGSBARA PARAMETRAR'!E$21)</f>
        <v>276</v>
      </c>
      <c r="F78" s="499">
        <f>((1+'ÄNDRINGSBARA PARAMETRAR'!F69)/'ÄNDRINGSBARA PARAMETRAR'!F54*'ÄNDRINGSBARA PARAMETRAR'!F23)-('ÄNDRINGSBARA PARAMETRAR'!F69*'ÄNDRINGSBARA PARAMETRAR'!F$21)</f>
        <v>276</v>
      </c>
      <c r="G78" s="499">
        <f>((1+'ÄNDRINGSBARA PARAMETRAR'!G69)/'ÄNDRINGSBARA PARAMETRAR'!G54*'ÄNDRINGSBARA PARAMETRAR'!G23)-('ÄNDRINGSBARA PARAMETRAR'!G69*'ÄNDRINGSBARA PARAMETRAR'!G$21)</f>
        <v>276</v>
      </c>
      <c r="H78" s="499">
        <f>((1+'ÄNDRINGSBARA PARAMETRAR'!H69)/'ÄNDRINGSBARA PARAMETRAR'!H54*'ÄNDRINGSBARA PARAMETRAR'!H23)-('ÄNDRINGSBARA PARAMETRAR'!H69*'ÄNDRINGSBARA PARAMETRAR'!H$21)</f>
        <v>276</v>
      </c>
      <c r="I78" s="499">
        <f>((1+'ÄNDRINGSBARA PARAMETRAR'!I69)/'ÄNDRINGSBARA PARAMETRAR'!I54*'ÄNDRINGSBARA PARAMETRAR'!I23)-('ÄNDRINGSBARA PARAMETRAR'!I69*'ÄNDRINGSBARA PARAMETRAR'!I$21)</f>
        <v>276</v>
      </c>
      <c r="J78" s="499">
        <f>((1+'ÄNDRINGSBARA PARAMETRAR'!J69)/'ÄNDRINGSBARA PARAMETRAR'!J54*'ÄNDRINGSBARA PARAMETRAR'!J23)-('ÄNDRINGSBARA PARAMETRAR'!J69*'ÄNDRINGSBARA PARAMETRAR'!J$21)</f>
        <v>276</v>
      </c>
      <c r="K78" s="499">
        <f>((1+'ÄNDRINGSBARA PARAMETRAR'!K69)/'ÄNDRINGSBARA PARAMETRAR'!K54*'ÄNDRINGSBARA PARAMETRAR'!K23)-('ÄNDRINGSBARA PARAMETRAR'!K69*'ÄNDRINGSBARA PARAMETRAR'!K$21)</f>
        <v>276</v>
      </c>
      <c r="L78" s="499">
        <f>((1+'ÄNDRINGSBARA PARAMETRAR'!L69)/'ÄNDRINGSBARA PARAMETRAR'!L54*'ÄNDRINGSBARA PARAMETRAR'!L23)-('ÄNDRINGSBARA PARAMETRAR'!L69*'ÄNDRINGSBARA PARAMETRAR'!L$21)</f>
        <v>276</v>
      </c>
      <c r="M78" s="499">
        <f>((1+'ÄNDRINGSBARA PARAMETRAR'!M69)/'ÄNDRINGSBARA PARAMETRAR'!M54*'ÄNDRINGSBARA PARAMETRAR'!M23)-('ÄNDRINGSBARA PARAMETRAR'!M69*'ÄNDRINGSBARA PARAMETRAR'!M$21)</f>
        <v>276</v>
      </c>
      <c r="O78" s="22" t="str">
        <f>INDATA!A64</f>
        <v>HVC Gas</v>
      </c>
      <c r="P78" s="485">
        <f>((1+'ÄNDRINGSBARA PARAMETRAR'!B69)/'ÄNDRINGSBARA PARAMETRAR'!B54*'ÄNDRINGSBARA PARAMETRAR'!B38)-('ÄNDRINGSBARA PARAMETRAR'!B69*'ÄNDRINGSBARA PARAMETRAR'!B$36)</f>
        <v>1.2111111111111112</v>
      </c>
      <c r="Q78" s="485">
        <f>((1+'ÄNDRINGSBARA PARAMETRAR'!C69)/'ÄNDRINGSBARA PARAMETRAR'!C54*'ÄNDRINGSBARA PARAMETRAR'!C38)-('ÄNDRINGSBARA PARAMETRAR'!C69*'ÄNDRINGSBARA PARAMETRAR'!C$36)</f>
        <v>1.2111111111111112</v>
      </c>
      <c r="R78" s="485">
        <f>((1+'ÄNDRINGSBARA PARAMETRAR'!D69)/'ÄNDRINGSBARA PARAMETRAR'!D54*'ÄNDRINGSBARA PARAMETRAR'!D38)-('ÄNDRINGSBARA PARAMETRAR'!D69*'ÄNDRINGSBARA PARAMETRAR'!D$36)</f>
        <v>1.2111111111111112</v>
      </c>
      <c r="S78" s="485">
        <f>((1+'ÄNDRINGSBARA PARAMETRAR'!E69)/'ÄNDRINGSBARA PARAMETRAR'!E54*'ÄNDRINGSBARA PARAMETRAR'!E38)-('ÄNDRINGSBARA PARAMETRAR'!E69*'ÄNDRINGSBARA PARAMETRAR'!E$36)</f>
        <v>1.2111111111111112</v>
      </c>
      <c r="T78" s="485">
        <f>((1+'ÄNDRINGSBARA PARAMETRAR'!F69)/'ÄNDRINGSBARA PARAMETRAR'!F54*'ÄNDRINGSBARA PARAMETRAR'!F38)-('ÄNDRINGSBARA PARAMETRAR'!F69*'ÄNDRINGSBARA PARAMETRAR'!F$36)</f>
        <v>1.2111111111111112</v>
      </c>
      <c r="U78" s="485">
        <f>((1+'ÄNDRINGSBARA PARAMETRAR'!G69)/'ÄNDRINGSBARA PARAMETRAR'!G54*'ÄNDRINGSBARA PARAMETRAR'!G38)-('ÄNDRINGSBARA PARAMETRAR'!G69*'ÄNDRINGSBARA PARAMETRAR'!G$36)</f>
        <v>1.2111111111111112</v>
      </c>
      <c r="V78" s="485">
        <f>((1+'ÄNDRINGSBARA PARAMETRAR'!H69)/'ÄNDRINGSBARA PARAMETRAR'!H54*'ÄNDRINGSBARA PARAMETRAR'!H38)-('ÄNDRINGSBARA PARAMETRAR'!H69*'ÄNDRINGSBARA PARAMETRAR'!H$36)</f>
        <v>1.2111111111111112</v>
      </c>
      <c r="W78" s="485">
        <f>((1+'ÄNDRINGSBARA PARAMETRAR'!I69)/'ÄNDRINGSBARA PARAMETRAR'!I54*'ÄNDRINGSBARA PARAMETRAR'!I38)-('ÄNDRINGSBARA PARAMETRAR'!I69*'ÄNDRINGSBARA PARAMETRAR'!I$36)</f>
        <v>1.2111111111111112</v>
      </c>
      <c r="X78" s="485">
        <f>((1+'ÄNDRINGSBARA PARAMETRAR'!J69)/'ÄNDRINGSBARA PARAMETRAR'!J54*'ÄNDRINGSBARA PARAMETRAR'!J38)-('ÄNDRINGSBARA PARAMETRAR'!J69*'ÄNDRINGSBARA PARAMETRAR'!J$36)</f>
        <v>1.2111111111111112</v>
      </c>
      <c r="Y78" s="485">
        <f>((1+'ÄNDRINGSBARA PARAMETRAR'!K69)/'ÄNDRINGSBARA PARAMETRAR'!K54*'ÄNDRINGSBARA PARAMETRAR'!K38)-('ÄNDRINGSBARA PARAMETRAR'!K69*'ÄNDRINGSBARA PARAMETRAR'!K$36)</f>
        <v>1.2111111111111112</v>
      </c>
      <c r="Z78" s="485">
        <f>((1+'ÄNDRINGSBARA PARAMETRAR'!L69)/'ÄNDRINGSBARA PARAMETRAR'!L54*'ÄNDRINGSBARA PARAMETRAR'!L38)-('ÄNDRINGSBARA PARAMETRAR'!L69*'ÄNDRINGSBARA PARAMETRAR'!L$36)</f>
        <v>1.2111111111111112</v>
      </c>
      <c r="AA78" s="485">
        <f>((1+'ÄNDRINGSBARA PARAMETRAR'!M69)/'ÄNDRINGSBARA PARAMETRAR'!M54*'ÄNDRINGSBARA PARAMETRAR'!M38)-('ÄNDRINGSBARA PARAMETRAR'!M69*'ÄNDRINGSBARA PARAMETRAR'!M$36)</f>
        <v>1.2111111111111112</v>
      </c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101"/>
      <c r="AZ78" s="101"/>
      <c r="BA78" s="101"/>
      <c r="BB78" s="101"/>
      <c r="BC78" s="101"/>
      <c r="BD78" s="101"/>
      <c r="BE78" s="101"/>
      <c r="BF78" s="101"/>
      <c r="BG78" s="101"/>
    </row>
    <row r="79" spans="1:59" s="296" customFormat="1" x14ac:dyDescent="0.2">
      <c r="A79" s="22" t="str">
        <f t="shared" si="69"/>
        <v>KVV Gas</v>
      </c>
      <c r="B79" s="499">
        <f>((1+'ÄNDRINGSBARA PARAMETRAR'!B70)/'ÄNDRINGSBARA PARAMETRAR'!B55*'ÄNDRINGSBARA PARAMETRAR'!B24)-('ÄNDRINGSBARA PARAMETRAR'!B70*'ÄNDRINGSBARA PARAMETRAR'!B$21)</f>
        <v>-37.454545454545553</v>
      </c>
      <c r="C79" s="499">
        <f>((1+'ÄNDRINGSBARA PARAMETRAR'!C70)/'ÄNDRINGSBARA PARAMETRAR'!C55*'ÄNDRINGSBARA PARAMETRAR'!C24)-('ÄNDRINGSBARA PARAMETRAR'!C70*'ÄNDRINGSBARA PARAMETRAR'!C$21)</f>
        <v>-37.454545454545553</v>
      </c>
      <c r="D79" s="499">
        <f>((1+'ÄNDRINGSBARA PARAMETRAR'!D70)/'ÄNDRINGSBARA PARAMETRAR'!D55*'ÄNDRINGSBARA PARAMETRAR'!D24)-('ÄNDRINGSBARA PARAMETRAR'!D70*'ÄNDRINGSBARA PARAMETRAR'!D$21)</f>
        <v>-37.454545454545553</v>
      </c>
      <c r="E79" s="499">
        <f>((1+'ÄNDRINGSBARA PARAMETRAR'!E70)/'ÄNDRINGSBARA PARAMETRAR'!E55*'ÄNDRINGSBARA PARAMETRAR'!E24)-('ÄNDRINGSBARA PARAMETRAR'!E70*'ÄNDRINGSBARA PARAMETRAR'!E$21)</f>
        <v>-37.454545454545553</v>
      </c>
      <c r="F79" s="499">
        <f>((1+'ÄNDRINGSBARA PARAMETRAR'!F70)/'ÄNDRINGSBARA PARAMETRAR'!F55*'ÄNDRINGSBARA PARAMETRAR'!F24)-('ÄNDRINGSBARA PARAMETRAR'!F70*'ÄNDRINGSBARA PARAMETRAR'!F$21)</f>
        <v>-37.454545454545553</v>
      </c>
      <c r="G79" s="499">
        <f>((1+'ÄNDRINGSBARA PARAMETRAR'!G70)/'ÄNDRINGSBARA PARAMETRAR'!G55*'ÄNDRINGSBARA PARAMETRAR'!G24)-('ÄNDRINGSBARA PARAMETRAR'!G70*'ÄNDRINGSBARA PARAMETRAR'!G$21)</f>
        <v>-37.454545454545553</v>
      </c>
      <c r="H79" s="499">
        <f>((1+'ÄNDRINGSBARA PARAMETRAR'!H70)/'ÄNDRINGSBARA PARAMETRAR'!H55*'ÄNDRINGSBARA PARAMETRAR'!H24)-('ÄNDRINGSBARA PARAMETRAR'!H70*'ÄNDRINGSBARA PARAMETRAR'!H$21)</f>
        <v>-37.454545454545553</v>
      </c>
      <c r="I79" s="499">
        <f>((1+'ÄNDRINGSBARA PARAMETRAR'!I70)/'ÄNDRINGSBARA PARAMETRAR'!I55*'ÄNDRINGSBARA PARAMETRAR'!I24)-('ÄNDRINGSBARA PARAMETRAR'!I70*'ÄNDRINGSBARA PARAMETRAR'!I$21)</f>
        <v>-37.454545454545553</v>
      </c>
      <c r="J79" s="499">
        <f>((1+'ÄNDRINGSBARA PARAMETRAR'!J70)/'ÄNDRINGSBARA PARAMETRAR'!J55*'ÄNDRINGSBARA PARAMETRAR'!J24)-('ÄNDRINGSBARA PARAMETRAR'!J70*'ÄNDRINGSBARA PARAMETRAR'!J$21)</f>
        <v>-37.454545454545553</v>
      </c>
      <c r="K79" s="499">
        <f>((1+'ÄNDRINGSBARA PARAMETRAR'!K70)/'ÄNDRINGSBARA PARAMETRAR'!K55*'ÄNDRINGSBARA PARAMETRAR'!K24)-('ÄNDRINGSBARA PARAMETRAR'!K70*'ÄNDRINGSBARA PARAMETRAR'!K$21)</f>
        <v>-37.454545454545553</v>
      </c>
      <c r="L79" s="499">
        <f>((1+'ÄNDRINGSBARA PARAMETRAR'!L70)/'ÄNDRINGSBARA PARAMETRAR'!L55*'ÄNDRINGSBARA PARAMETRAR'!L24)-('ÄNDRINGSBARA PARAMETRAR'!L70*'ÄNDRINGSBARA PARAMETRAR'!L$21)</f>
        <v>-37.454545454545553</v>
      </c>
      <c r="M79" s="499">
        <f>((1+'ÄNDRINGSBARA PARAMETRAR'!M70)/'ÄNDRINGSBARA PARAMETRAR'!M55*'ÄNDRINGSBARA PARAMETRAR'!M24)-('ÄNDRINGSBARA PARAMETRAR'!M70*'ÄNDRINGSBARA PARAMETRAR'!M$21)</f>
        <v>-37.454545454545553</v>
      </c>
      <c r="O79" s="22" t="str">
        <f>INDATA!A65</f>
        <v>KVV Gas</v>
      </c>
      <c r="P79" s="485">
        <f>((1+'ÄNDRINGSBARA PARAMETRAR'!B70)/'ÄNDRINGSBARA PARAMETRAR'!B55*'ÄNDRINGSBARA PARAMETRAR'!B39)-('ÄNDRINGSBARA PARAMETRAR'!B70*'ÄNDRINGSBARA PARAMETRAR'!B$36)</f>
        <v>0.3298014629049113</v>
      </c>
      <c r="Q79" s="485">
        <f>((1+'ÄNDRINGSBARA PARAMETRAR'!C70)/'ÄNDRINGSBARA PARAMETRAR'!C55*'ÄNDRINGSBARA PARAMETRAR'!C39)-('ÄNDRINGSBARA PARAMETRAR'!C70*'ÄNDRINGSBARA PARAMETRAR'!C$36)</f>
        <v>0.3298014629049113</v>
      </c>
      <c r="R79" s="485">
        <f>((1+'ÄNDRINGSBARA PARAMETRAR'!D70)/'ÄNDRINGSBARA PARAMETRAR'!D55*'ÄNDRINGSBARA PARAMETRAR'!D39)-('ÄNDRINGSBARA PARAMETRAR'!D70*'ÄNDRINGSBARA PARAMETRAR'!D$36)</f>
        <v>0.3298014629049113</v>
      </c>
      <c r="S79" s="485">
        <f>((1+'ÄNDRINGSBARA PARAMETRAR'!E70)/'ÄNDRINGSBARA PARAMETRAR'!E55*'ÄNDRINGSBARA PARAMETRAR'!E39)-('ÄNDRINGSBARA PARAMETRAR'!E70*'ÄNDRINGSBARA PARAMETRAR'!E$36)</f>
        <v>0.3298014629049113</v>
      </c>
      <c r="T79" s="485">
        <f>((1+'ÄNDRINGSBARA PARAMETRAR'!F70)/'ÄNDRINGSBARA PARAMETRAR'!F55*'ÄNDRINGSBARA PARAMETRAR'!F39)-('ÄNDRINGSBARA PARAMETRAR'!F70*'ÄNDRINGSBARA PARAMETRAR'!F$36)</f>
        <v>0.3298014629049113</v>
      </c>
      <c r="U79" s="485">
        <f>((1+'ÄNDRINGSBARA PARAMETRAR'!G70)/'ÄNDRINGSBARA PARAMETRAR'!G55*'ÄNDRINGSBARA PARAMETRAR'!G39)-('ÄNDRINGSBARA PARAMETRAR'!G70*'ÄNDRINGSBARA PARAMETRAR'!G$36)</f>
        <v>0.3298014629049113</v>
      </c>
      <c r="V79" s="485">
        <f>((1+'ÄNDRINGSBARA PARAMETRAR'!H70)/'ÄNDRINGSBARA PARAMETRAR'!H55*'ÄNDRINGSBARA PARAMETRAR'!H39)-('ÄNDRINGSBARA PARAMETRAR'!H70*'ÄNDRINGSBARA PARAMETRAR'!H$36)</f>
        <v>0.3298014629049113</v>
      </c>
      <c r="W79" s="485">
        <f>((1+'ÄNDRINGSBARA PARAMETRAR'!I70)/'ÄNDRINGSBARA PARAMETRAR'!I55*'ÄNDRINGSBARA PARAMETRAR'!I39)-('ÄNDRINGSBARA PARAMETRAR'!I70*'ÄNDRINGSBARA PARAMETRAR'!I$36)</f>
        <v>0.3298014629049113</v>
      </c>
      <c r="X79" s="485">
        <f>((1+'ÄNDRINGSBARA PARAMETRAR'!J70)/'ÄNDRINGSBARA PARAMETRAR'!J55*'ÄNDRINGSBARA PARAMETRAR'!J39)-('ÄNDRINGSBARA PARAMETRAR'!J70*'ÄNDRINGSBARA PARAMETRAR'!J$36)</f>
        <v>0.3298014629049113</v>
      </c>
      <c r="Y79" s="485">
        <f>((1+'ÄNDRINGSBARA PARAMETRAR'!K70)/'ÄNDRINGSBARA PARAMETRAR'!K55*'ÄNDRINGSBARA PARAMETRAR'!K39)-('ÄNDRINGSBARA PARAMETRAR'!K70*'ÄNDRINGSBARA PARAMETRAR'!K$36)</f>
        <v>0.3298014629049113</v>
      </c>
      <c r="Z79" s="485">
        <f>((1+'ÄNDRINGSBARA PARAMETRAR'!L70)/'ÄNDRINGSBARA PARAMETRAR'!L55*'ÄNDRINGSBARA PARAMETRAR'!L39)-('ÄNDRINGSBARA PARAMETRAR'!L70*'ÄNDRINGSBARA PARAMETRAR'!L$36)</f>
        <v>0.3298014629049113</v>
      </c>
      <c r="AA79" s="485">
        <f>((1+'ÄNDRINGSBARA PARAMETRAR'!M70)/'ÄNDRINGSBARA PARAMETRAR'!M55*'ÄNDRINGSBARA PARAMETRAR'!M39)-('ÄNDRINGSBARA PARAMETRAR'!M70*'ÄNDRINGSBARA PARAMETRAR'!M$36)</f>
        <v>0.3298014629049113</v>
      </c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101"/>
      <c r="AZ79" s="101"/>
      <c r="BA79" s="101"/>
      <c r="BB79" s="101"/>
      <c r="BC79" s="101"/>
      <c r="BD79" s="101"/>
      <c r="BE79" s="101"/>
      <c r="BF79" s="101"/>
      <c r="BG79" s="101"/>
    </row>
    <row r="80" spans="1:59" s="296" customFormat="1" x14ac:dyDescent="0.2">
      <c r="A80" s="22" t="str">
        <f t="shared" si="69"/>
        <v>Valfri 3</v>
      </c>
      <c r="B80" s="499">
        <f>((1+'ÄNDRINGSBARA PARAMETRAR'!B71)/'ÄNDRINGSBARA PARAMETRAR'!B56*'ÄNDRINGSBARA PARAMETRAR'!B25)-('ÄNDRINGSBARA PARAMETRAR'!B71*'ÄNDRINGSBARA PARAMETRAR'!B$21)</f>
        <v>0</v>
      </c>
      <c r="C80" s="499">
        <f>((1+'ÄNDRINGSBARA PARAMETRAR'!C71)/'ÄNDRINGSBARA PARAMETRAR'!C56*'ÄNDRINGSBARA PARAMETRAR'!C25)-('ÄNDRINGSBARA PARAMETRAR'!C71*'ÄNDRINGSBARA PARAMETRAR'!C$21)</f>
        <v>0</v>
      </c>
      <c r="D80" s="499">
        <f>((1+'ÄNDRINGSBARA PARAMETRAR'!D71)/'ÄNDRINGSBARA PARAMETRAR'!D56*'ÄNDRINGSBARA PARAMETRAR'!D25)-('ÄNDRINGSBARA PARAMETRAR'!D71*'ÄNDRINGSBARA PARAMETRAR'!D$21)</f>
        <v>0</v>
      </c>
      <c r="E80" s="499">
        <f>((1+'ÄNDRINGSBARA PARAMETRAR'!E71)/'ÄNDRINGSBARA PARAMETRAR'!E56*'ÄNDRINGSBARA PARAMETRAR'!E25)-('ÄNDRINGSBARA PARAMETRAR'!E71*'ÄNDRINGSBARA PARAMETRAR'!E$21)</f>
        <v>0</v>
      </c>
      <c r="F80" s="499">
        <f>((1+'ÄNDRINGSBARA PARAMETRAR'!F71)/'ÄNDRINGSBARA PARAMETRAR'!F56*'ÄNDRINGSBARA PARAMETRAR'!F25)-('ÄNDRINGSBARA PARAMETRAR'!F71*'ÄNDRINGSBARA PARAMETRAR'!F$21)</f>
        <v>0</v>
      </c>
      <c r="G80" s="499">
        <f>((1+'ÄNDRINGSBARA PARAMETRAR'!G71)/'ÄNDRINGSBARA PARAMETRAR'!G56*'ÄNDRINGSBARA PARAMETRAR'!G25)-('ÄNDRINGSBARA PARAMETRAR'!G71*'ÄNDRINGSBARA PARAMETRAR'!G$21)</f>
        <v>0</v>
      </c>
      <c r="H80" s="499">
        <f>((1+'ÄNDRINGSBARA PARAMETRAR'!H71)/'ÄNDRINGSBARA PARAMETRAR'!H56*'ÄNDRINGSBARA PARAMETRAR'!H25)-('ÄNDRINGSBARA PARAMETRAR'!H71*'ÄNDRINGSBARA PARAMETRAR'!H$21)</f>
        <v>0</v>
      </c>
      <c r="I80" s="499">
        <f>((1+'ÄNDRINGSBARA PARAMETRAR'!I71)/'ÄNDRINGSBARA PARAMETRAR'!I56*'ÄNDRINGSBARA PARAMETRAR'!I25)-('ÄNDRINGSBARA PARAMETRAR'!I71*'ÄNDRINGSBARA PARAMETRAR'!I$21)</f>
        <v>0</v>
      </c>
      <c r="J80" s="499">
        <f>((1+'ÄNDRINGSBARA PARAMETRAR'!J71)/'ÄNDRINGSBARA PARAMETRAR'!J56*'ÄNDRINGSBARA PARAMETRAR'!J25)-('ÄNDRINGSBARA PARAMETRAR'!J71*'ÄNDRINGSBARA PARAMETRAR'!J$21)</f>
        <v>0</v>
      </c>
      <c r="K80" s="499">
        <f>((1+'ÄNDRINGSBARA PARAMETRAR'!K71)/'ÄNDRINGSBARA PARAMETRAR'!K56*'ÄNDRINGSBARA PARAMETRAR'!K25)-('ÄNDRINGSBARA PARAMETRAR'!K71*'ÄNDRINGSBARA PARAMETRAR'!K$21)</f>
        <v>0</v>
      </c>
      <c r="L80" s="499">
        <f>((1+'ÄNDRINGSBARA PARAMETRAR'!L71)/'ÄNDRINGSBARA PARAMETRAR'!L56*'ÄNDRINGSBARA PARAMETRAR'!L25)-('ÄNDRINGSBARA PARAMETRAR'!L71*'ÄNDRINGSBARA PARAMETRAR'!L$21)</f>
        <v>0</v>
      </c>
      <c r="M80" s="499">
        <f>((1+'ÄNDRINGSBARA PARAMETRAR'!M71)/'ÄNDRINGSBARA PARAMETRAR'!M56*'ÄNDRINGSBARA PARAMETRAR'!M25)-('ÄNDRINGSBARA PARAMETRAR'!M71*'ÄNDRINGSBARA PARAMETRAR'!M$21)</f>
        <v>0</v>
      </c>
      <c r="O80" s="22" t="str">
        <f>INDATA!A66</f>
        <v>Valfri 3</v>
      </c>
      <c r="P80" s="485">
        <f>((1+'ÄNDRINGSBARA PARAMETRAR'!B71)/'ÄNDRINGSBARA PARAMETRAR'!B56*'ÄNDRINGSBARA PARAMETRAR'!B40)-('ÄNDRINGSBARA PARAMETRAR'!B71*'ÄNDRINGSBARA PARAMETRAR'!B$36)</f>
        <v>0</v>
      </c>
      <c r="Q80" s="485">
        <f>((1+'ÄNDRINGSBARA PARAMETRAR'!C71)/'ÄNDRINGSBARA PARAMETRAR'!C56*'ÄNDRINGSBARA PARAMETRAR'!C40)-('ÄNDRINGSBARA PARAMETRAR'!C71*'ÄNDRINGSBARA PARAMETRAR'!C$36)</f>
        <v>0</v>
      </c>
      <c r="R80" s="485">
        <f>((1+'ÄNDRINGSBARA PARAMETRAR'!D71)/'ÄNDRINGSBARA PARAMETRAR'!D56*'ÄNDRINGSBARA PARAMETRAR'!D40)-('ÄNDRINGSBARA PARAMETRAR'!D71*'ÄNDRINGSBARA PARAMETRAR'!D$36)</f>
        <v>0</v>
      </c>
      <c r="S80" s="485">
        <f>((1+'ÄNDRINGSBARA PARAMETRAR'!E71)/'ÄNDRINGSBARA PARAMETRAR'!E56*'ÄNDRINGSBARA PARAMETRAR'!E40)-('ÄNDRINGSBARA PARAMETRAR'!E71*'ÄNDRINGSBARA PARAMETRAR'!E$36)</f>
        <v>0</v>
      </c>
      <c r="T80" s="485">
        <f>((1+'ÄNDRINGSBARA PARAMETRAR'!F71)/'ÄNDRINGSBARA PARAMETRAR'!F56*'ÄNDRINGSBARA PARAMETRAR'!F40)-('ÄNDRINGSBARA PARAMETRAR'!F71*'ÄNDRINGSBARA PARAMETRAR'!F$36)</f>
        <v>0</v>
      </c>
      <c r="U80" s="485">
        <f>((1+'ÄNDRINGSBARA PARAMETRAR'!G71)/'ÄNDRINGSBARA PARAMETRAR'!G56*'ÄNDRINGSBARA PARAMETRAR'!G40)-('ÄNDRINGSBARA PARAMETRAR'!G71*'ÄNDRINGSBARA PARAMETRAR'!G$36)</f>
        <v>0</v>
      </c>
      <c r="V80" s="485">
        <f>((1+'ÄNDRINGSBARA PARAMETRAR'!H71)/'ÄNDRINGSBARA PARAMETRAR'!H56*'ÄNDRINGSBARA PARAMETRAR'!H40)-('ÄNDRINGSBARA PARAMETRAR'!H71*'ÄNDRINGSBARA PARAMETRAR'!H$36)</f>
        <v>0</v>
      </c>
      <c r="W80" s="485">
        <f>((1+'ÄNDRINGSBARA PARAMETRAR'!I71)/'ÄNDRINGSBARA PARAMETRAR'!I56*'ÄNDRINGSBARA PARAMETRAR'!I40)-('ÄNDRINGSBARA PARAMETRAR'!I71*'ÄNDRINGSBARA PARAMETRAR'!I$36)</f>
        <v>0</v>
      </c>
      <c r="X80" s="485">
        <f>((1+'ÄNDRINGSBARA PARAMETRAR'!J71)/'ÄNDRINGSBARA PARAMETRAR'!J56*'ÄNDRINGSBARA PARAMETRAR'!J40)-('ÄNDRINGSBARA PARAMETRAR'!J71*'ÄNDRINGSBARA PARAMETRAR'!J$36)</f>
        <v>0</v>
      </c>
      <c r="Y80" s="485">
        <f>((1+'ÄNDRINGSBARA PARAMETRAR'!K71)/'ÄNDRINGSBARA PARAMETRAR'!K56*'ÄNDRINGSBARA PARAMETRAR'!K40)-('ÄNDRINGSBARA PARAMETRAR'!K71*'ÄNDRINGSBARA PARAMETRAR'!K$36)</f>
        <v>0</v>
      </c>
      <c r="Z80" s="485">
        <f>((1+'ÄNDRINGSBARA PARAMETRAR'!L71)/'ÄNDRINGSBARA PARAMETRAR'!L56*'ÄNDRINGSBARA PARAMETRAR'!L40)-('ÄNDRINGSBARA PARAMETRAR'!L71*'ÄNDRINGSBARA PARAMETRAR'!L$36)</f>
        <v>0</v>
      </c>
      <c r="AA80" s="485">
        <f>((1+'ÄNDRINGSBARA PARAMETRAR'!M71)/'ÄNDRINGSBARA PARAMETRAR'!M56*'ÄNDRINGSBARA PARAMETRAR'!M40)-('ÄNDRINGSBARA PARAMETRAR'!M71*'ÄNDRINGSBARA PARAMETRAR'!M$36)</f>
        <v>0</v>
      </c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101"/>
      <c r="AZ80" s="101"/>
      <c r="BA80" s="101"/>
      <c r="BB80" s="101"/>
      <c r="BC80" s="101"/>
      <c r="BD80" s="101"/>
      <c r="BE80" s="101"/>
      <c r="BF80" s="101"/>
      <c r="BG80" s="101"/>
    </row>
    <row r="81" spans="1:59" s="296" customFormat="1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O81" s="55"/>
      <c r="P81" s="55"/>
      <c r="Q81" s="55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101"/>
      <c r="AZ81" s="101"/>
      <c r="BA81" s="101"/>
      <c r="BB81" s="101"/>
      <c r="BC81" s="101"/>
      <c r="BD81" s="101"/>
      <c r="BE81" s="101"/>
      <c r="BF81" s="101"/>
      <c r="BG81" s="101"/>
    </row>
    <row r="82" spans="1:59" s="296" customFormat="1" x14ac:dyDescent="0.2">
      <c r="O82" s="55"/>
      <c r="P82" s="55"/>
      <c r="Q82" s="55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101"/>
      <c r="AZ82" s="101"/>
      <c r="BA82" s="101"/>
      <c r="BB82" s="101"/>
      <c r="BC82" s="101"/>
      <c r="BD82" s="101"/>
      <c r="BE82" s="101"/>
      <c r="BF82" s="101"/>
      <c r="BG82" s="101"/>
    </row>
    <row r="83" spans="1:59" x14ac:dyDescent="0.2"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</row>
    <row r="84" spans="1:59" x14ac:dyDescent="0.2">
      <c r="A84" s="216"/>
      <c r="B84" s="68"/>
    </row>
    <row r="85" spans="1:59" x14ac:dyDescent="0.2">
      <c r="A85" s="5" t="s">
        <v>207</v>
      </c>
      <c r="B85" s="67"/>
      <c r="C85" s="67"/>
      <c r="D85" s="67"/>
      <c r="E85" s="5"/>
      <c r="F85" s="5"/>
      <c r="G85" s="5"/>
      <c r="H85" s="5"/>
      <c r="I85" s="5"/>
      <c r="J85" s="5"/>
      <c r="K85" s="5"/>
      <c r="L85" s="5"/>
      <c r="M85" s="5"/>
      <c r="N85" s="68"/>
      <c r="O85" s="5" t="s">
        <v>208</v>
      </c>
      <c r="P85" s="67"/>
      <c r="Q85" s="67"/>
      <c r="R85" s="67"/>
      <c r="S85" s="5"/>
      <c r="T85" s="5"/>
      <c r="U85" s="5"/>
      <c r="V85" s="5"/>
      <c r="W85" s="5"/>
      <c r="X85" s="5"/>
      <c r="Y85" s="5"/>
      <c r="Z85" s="5"/>
      <c r="AA85" s="5"/>
    </row>
    <row r="86" spans="1:59" x14ac:dyDescent="0.2">
      <c r="A86" s="6" t="s">
        <v>19</v>
      </c>
      <c r="B86" s="202" t="s">
        <v>20</v>
      </c>
      <c r="C86" s="203" t="s">
        <v>21</v>
      </c>
      <c r="D86" s="203" t="s">
        <v>22</v>
      </c>
      <c r="E86" s="203" t="s">
        <v>23</v>
      </c>
      <c r="F86" s="203" t="s">
        <v>24</v>
      </c>
      <c r="G86" s="203" t="s">
        <v>25</v>
      </c>
      <c r="H86" s="203" t="s">
        <v>26</v>
      </c>
      <c r="I86" s="203" t="s">
        <v>27</v>
      </c>
      <c r="J86" s="203" t="s">
        <v>28</v>
      </c>
      <c r="K86" s="203" t="s">
        <v>29</v>
      </c>
      <c r="L86" s="203" t="s">
        <v>30</v>
      </c>
      <c r="M86" s="204" t="s">
        <v>31</v>
      </c>
      <c r="O86" s="6" t="s">
        <v>19</v>
      </c>
      <c r="P86" s="202" t="s">
        <v>20</v>
      </c>
      <c r="Q86" s="203" t="s">
        <v>21</v>
      </c>
      <c r="R86" s="203" t="s">
        <v>22</v>
      </c>
      <c r="S86" s="203" t="s">
        <v>23</v>
      </c>
      <c r="T86" s="203" t="s">
        <v>24</v>
      </c>
      <c r="U86" s="203" t="s">
        <v>25</v>
      </c>
      <c r="V86" s="203" t="s">
        <v>26</v>
      </c>
      <c r="W86" s="203" t="s">
        <v>27</v>
      </c>
      <c r="X86" s="203" t="s">
        <v>28</v>
      </c>
      <c r="Y86" s="203" t="s">
        <v>29</v>
      </c>
      <c r="Z86" s="203" t="s">
        <v>30</v>
      </c>
      <c r="AA86" s="204" t="s">
        <v>31</v>
      </c>
    </row>
    <row r="87" spans="1:59" ht="16" thickBot="1" x14ac:dyDescent="0.25">
      <c r="A87" s="7" t="str">
        <f>INDATA!A57</f>
        <v>HVC EO1</v>
      </c>
      <c r="B87" s="258">
        <f>UTDATA!Q122</f>
        <v>0</v>
      </c>
      <c r="C87" s="259">
        <f>UTDATA!R122</f>
        <v>0</v>
      </c>
      <c r="D87" s="259">
        <f>UTDATA!S122</f>
        <v>0</v>
      </c>
      <c r="E87" s="259">
        <f>UTDATA!T122</f>
        <v>0</v>
      </c>
      <c r="F87" s="259">
        <f>UTDATA!U122</f>
        <v>0</v>
      </c>
      <c r="G87" s="259">
        <f>UTDATA!V122</f>
        <v>0</v>
      </c>
      <c r="H87" s="259">
        <f>UTDATA!W122</f>
        <v>0</v>
      </c>
      <c r="I87" s="259">
        <f>UTDATA!X122</f>
        <v>0</v>
      </c>
      <c r="J87" s="259">
        <f>UTDATA!Y122</f>
        <v>0</v>
      </c>
      <c r="K87" s="259">
        <f>UTDATA!Z122</f>
        <v>0</v>
      </c>
      <c r="L87" s="259">
        <f>UTDATA!AA122</f>
        <v>0</v>
      </c>
      <c r="M87" s="259">
        <f>UTDATA!AB122</f>
        <v>0</v>
      </c>
      <c r="O87" s="7" t="str">
        <f>INDATA!A57</f>
        <v>HVC EO1</v>
      </c>
      <c r="P87" s="258">
        <f>UTDATA!Q109</f>
        <v>0</v>
      </c>
      <c r="Q87" s="260">
        <f>UTDATA!R109</f>
        <v>0</v>
      </c>
      <c r="R87" s="260">
        <f>UTDATA!S109</f>
        <v>0</v>
      </c>
      <c r="S87" s="260">
        <f>UTDATA!T109</f>
        <v>0</v>
      </c>
      <c r="T87" s="260">
        <f>UTDATA!U109</f>
        <v>0</v>
      </c>
      <c r="U87" s="260">
        <f>UTDATA!V109</f>
        <v>0</v>
      </c>
      <c r="V87" s="260">
        <f>UTDATA!W109</f>
        <v>0</v>
      </c>
      <c r="W87" s="260">
        <f>UTDATA!X109</f>
        <v>0</v>
      </c>
      <c r="X87" s="260">
        <f>UTDATA!Y109</f>
        <v>0</v>
      </c>
      <c r="Y87" s="260">
        <f>UTDATA!Z109</f>
        <v>0</v>
      </c>
      <c r="Z87" s="260">
        <f>UTDATA!AA109</f>
        <v>0</v>
      </c>
      <c r="AA87" s="261">
        <f>UTDATA!AB109</f>
        <v>0</v>
      </c>
    </row>
    <row r="88" spans="1:59" ht="17" thickTop="1" thickBot="1" x14ac:dyDescent="0.25">
      <c r="A88" s="7" t="str">
        <f>INDATA!A58</f>
        <v>HVC bioolja</v>
      </c>
      <c r="B88" s="258">
        <f>UTDATA!Q123</f>
        <v>0</v>
      </c>
      <c r="C88" s="259">
        <f>UTDATA!R123</f>
        <v>0</v>
      </c>
      <c r="D88" s="259">
        <f>UTDATA!S123</f>
        <v>0</v>
      </c>
      <c r="E88" s="259">
        <f>UTDATA!T123</f>
        <v>0</v>
      </c>
      <c r="F88" s="259">
        <f>UTDATA!U123</f>
        <v>0</v>
      </c>
      <c r="G88" s="259">
        <f>UTDATA!V123</f>
        <v>0</v>
      </c>
      <c r="H88" s="259">
        <f>UTDATA!W123</f>
        <v>0</v>
      </c>
      <c r="I88" s="259">
        <f>UTDATA!X123</f>
        <v>0</v>
      </c>
      <c r="J88" s="259">
        <f>UTDATA!Y123</f>
        <v>0</v>
      </c>
      <c r="K88" s="259">
        <f>UTDATA!Z123</f>
        <v>0</v>
      </c>
      <c r="L88" s="259">
        <f>UTDATA!AA123</f>
        <v>0</v>
      </c>
      <c r="M88" s="259">
        <f>UTDATA!AB123</f>
        <v>0</v>
      </c>
      <c r="O88" s="7" t="str">
        <f>INDATA!A58</f>
        <v>HVC bioolja</v>
      </c>
      <c r="P88" s="258">
        <f>UTDATA!Q110</f>
        <v>0</v>
      </c>
      <c r="Q88" s="260">
        <f>UTDATA!R110</f>
        <v>0</v>
      </c>
      <c r="R88" s="260">
        <f>UTDATA!S110</f>
        <v>0</v>
      </c>
      <c r="S88" s="260">
        <f>UTDATA!T110</f>
        <v>0</v>
      </c>
      <c r="T88" s="260">
        <f>UTDATA!U110</f>
        <v>0</v>
      </c>
      <c r="U88" s="260">
        <f>UTDATA!V110</f>
        <v>0</v>
      </c>
      <c r="V88" s="260">
        <f>UTDATA!W110</f>
        <v>0</v>
      </c>
      <c r="W88" s="260">
        <f>UTDATA!X110</f>
        <v>0</v>
      </c>
      <c r="X88" s="260">
        <f>UTDATA!Y110</f>
        <v>0</v>
      </c>
      <c r="Y88" s="260">
        <f>UTDATA!Z110</f>
        <v>0</v>
      </c>
      <c r="Z88" s="260">
        <f>UTDATA!AA110</f>
        <v>0</v>
      </c>
      <c r="AA88" s="261">
        <f>UTDATA!AB110</f>
        <v>0</v>
      </c>
    </row>
    <row r="89" spans="1:59" ht="17" thickTop="1" thickBot="1" x14ac:dyDescent="0.25">
      <c r="A89" s="7" t="str">
        <f>INDATA!A59</f>
        <v>HVC pellets</v>
      </c>
      <c r="B89" s="258">
        <f>UTDATA!Q124</f>
        <v>88.378549354421111</v>
      </c>
      <c r="C89" s="259">
        <f>UTDATA!R124</f>
        <v>82.825427427007114</v>
      </c>
      <c r="D89" s="259">
        <f>UTDATA!S124</f>
        <v>0</v>
      </c>
      <c r="E89" s="259">
        <f>UTDATA!T124</f>
        <v>0</v>
      </c>
      <c r="F89" s="259">
        <f>UTDATA!U124</f>
        <v>0</v>
      </c>
      <c r="G89" s="259">
        <f>UTDATA!V124</f>
        <v>0</v>
      </c>
      <c r="H89" s="259">
        <f>UTDATA!W124</f>
        <v>0</v>
      </c>
      <c r="I89" s="259">
        <f>UTDATA!X124</f>
        <v>0</v>
      </c>
      <c r="J89" s="259">
        <f>UTDATA!Y124</f>
        <v>0</v>
      </c>
      <c r="K89" s="259">
        <f>UTDATA!Z124</f>
        <v>0</v>
      </c>
      <c r="L89" s="259">
        <f>UTDATA!AA124</f>
        <v>0</v>
      </c>
      <c r="M89" s="259">
        <f>UTDATA!AB124</f>
        <v>82.848586174214617</v>
      </c>
      <c r="O89" s="7" t="str">
        <f>INDATA!A59</f>
        <v>HVC pellets</v>
      </c>
      <c r="P89" s="258">
        <f>UTDATA!Q111</f>
        <v>29.370911943819134</v>
      </c>
      <c r="Q89" s="260">
        <f>UTDATA!R111</f>
        <v>27.685598636242972</v>
      </c>
      <c r="R89" s="260">
        <f>UTDATA!S111</f>
        <v>0</v>
      </c>
      <c r="S89" s="260">
        <f>UTDATA!T111</f>
        <v>0</v>
      </c>
      <c r="T89" s="260">
        <f>UTDATA!U111</f>
        <v>0</v>
      </c>
      <c r="U89" s="260">
        <f>UTDATA!V111</f>
        <v>0</v>
      </c>
      <c r="V89" s="260">
        <f>UTDATA!W111</f>
        <v>0</v>
      </c>
      <c r="W89" s="260">
        <f>UTDATA!X111</f>
        <v>0</v>
      </c>
      <c r="X89" s="260">
        <f>UTDATA!Y111</f>
        <v>0</v>
      </c>
      <c r="Y89" s="260">
        <f>UTDATA!Z111</f>
        <v>0</v>
      </c>
      <c r="Z89" s="260">
        <f>UTDATA!AA111</f>
        <v>0</v>
      </c>
      <c r="AA89" s="261">
        <f>UTDATA!AB111</f>
        <v>28.281668831414898</v>
      </c>
    </row>
    <row r="90" spans="1:59" ht="17" thickTop="1" thickBot="1" x14ac:dyDescent="0.25">
      <c r="A90" s="7" t="str">
        <f>INDATA!A60</f>
        <v>KVV avfall</v>
      </c>
      <c r="B90" s="258">
        <f>UTDATA!Q125</f>
        <v>0</v>
      </c>
      <c r="C90" s="259">
        <f>UTDATA!R125</f>
        <v>0</v>
      </c>
      <c r="D90" s="259">
        <f>UTDATA!S125</f>
        <v>0</v>
      </c>
      <c r="E90" s="259">
        <f>UTDATA!T125</f>
        <v>0</v>
      </c>
      <c r="F90" s="259">
        <f>UTDATA!U125</f>
        <v>142.53344773854903</v>
      </c>
      <c r="G90" s="259">
        <f>UTDATA!V125</f>
        <v>170.98068497999478</v>
      </c>
      <c r="H90" s="259">
        <f>UTDATA!W125</f>
        <v>133.68876500529836</v>
      </c>
      <c r="I90" s="259">
        <f>UTDATA!X125</f>
        <v>162.69768827976179</v>
      </c>
      <c r="J90" s="259">
        <f>UTDATA!Y125</f>
        <v>121.87953219419272</v>
      </c>
      <c r="K90" s="259">
        <f>UTDATA!Z125</f>
        <v>0</v>
      </c>
      <c r="L90" s="259">
        <f>UTDATA!AA125</f>
        <v>0</v>
      </c>
      <c r="M90" s="259">
        <f>UTDATA!AB125</f>
        <v>0</v>
      </c>
      <c r="O90" s="7" t="str">
        <f>INDATA!A60</f>
        <v>KVV avfall</v>
      </c>
      <c r="P90" s="258">
        <f>UTDATA!Q112</f>
        <v>0</v>
      </c>
      <c r="Q90" s="260">
        <f>UTDATA!R112</f>
        <v>0</v>
      </c>
      <c r="R90" s="260">
        <f>UTDATA!S112</f>
        <v>0</v>
      </c>
      <c r="S90" s="260">
        <f>UTDATA!T112</f>
        <v>0</v>
      </c>
      <c r="T90" s="260">
        <f>UTDATA!U112</f>
        <v>653.74989322979991</v>
      </c>
      <c r="U90" s="260">
        <f>UTDATA!V112</f>
        <v>1741.9331804114488</v>
      </c>
      <c r="V90" s="260">
        <f>UTDATA!W112</f>
        <v>1667.3661218016716</v>
      </c>
      <c r="W90" s="260">
        <f>UTDATA!X112</f>
        <v>1212.9041023575858</v>
      </c>
      <c r="X90" s="260">
        <f>UTDATA!Y112</f>
        <v>448.97478173733816</v>
      </c>
      <c r="Y90" s="260">
        <f>UTDATA!Z112</f>
        <v>0</v>
      </c>
      <c r="Z90" s="260">
        <f>UTDATA!AA112</f>
        <v>0</v>
      </c>
      <c r="AA90" s="261">
        <f>UTDATA!AB112</f>
        <v>0</v>
      </c>
    </row>
    <row r="91" spans="1:59" ht="17" thickTop="1" thickBot="1" x14ac:dyDescent="0.25">
      <c r="A91" s="7" t="str">
        <f>INDATA!A61</f>
        <v>KVV grot</v>
      </c>
      <c r="B91" s="258">
        <f>UTDATA!Q126</f>
        <v>0</v>
      </c>
      <c r="C91" s="259">
        <f>UTDATA!R126</f>
        <v>0</v>
      </c>
      <c r="D91" s="259">
        <f>UTDATA!S126</f>
        <v>0</v>
      </c>
      <c r="E91" s="259">
        <f>UTDATA!T126</f>
        <v>183.07116406937649</v>
      </c>
      <c r="F91" s="259">
        <f>UTDATA!U126</f>
        <v>142.53344773854903</v>
      </c>
      <c r="G91" s="259">
        <f>UTDATA!V126</f>
        <v>0</v>
      </c>
      <c r="H91" s="259">
        <f>UTDATA!W126</f>
        <v>0</v>
      </c>
      <c r="I91" s="259">
        <f>UTDATA!X126</f>
        <v>0</v>
      </c>
      <c r="J91" s="259">
        <f>UTDATA!Y126</f>
        <v>121.87953219419272</v>
      </c>
      <c r="K91" s="259">
        <f>UTDATA!Z126</f>
        <v>170.40528804688913</v>
      </c>
      <c r="L91" s="259">
        <f>UTDATA!AA126</f>
        <v>0</v>
      </c>
      <c r="M91" s="259">
        <f>UTDATA!AB126</f>
        <v>0</v>
      </c>
      <c r="O91" s="7" t="str">
        <f>INDATA!A61</f>
        <v>KVV grot</v>
      </c>
      <c r="P91" s="258">
        <f>UTDATA!Q113</f>
        <v>0</v>
      </c>
      <c r="Q91" s="260">
        <f>UTDATA!R113</f>
        <v>0</v>
      </c>
      <c r="R91" s="260">
        <f>UTDATA!S113</f>
        <v>0</v>
      </c>
      <c r="S91" s="260">
        <f>UTDATA!T113</f>
        <v>39.532179188219324</v>
      </c>
      <c r="T91" s="260">
        <f>UTDATA!U113</f>
        <v>653.74989322979991</v>
      </c>
      <c r="U91" s="260">
        <f>UTDATA!V113</f>
        <v>0</v>
      </c>
      <c r="V91" s="260">
        <f>UTDATA!W113</f>
        <v>0</v>
      </c>
      <c r="W91" s="260">
        <f>UTDATA!X113</f>
        <v>0</v>
      </c>
      <c r="X91" s="260">
        <f>UTDATA!Y113</f>
        <v>448.97478173733816</v>
      </c>
      <c r="Y91" s="260">
        <f>UTDATA!Z113</f>
        <v>27.476289660187998</v>
      </c>
      <c r="Z91" s="260">
        <f>UTDATA!AA113</f>
        <v>0</v>
      </c>
      <c r="AA91" s="261">
        <f>UTDATA!AB113</f>
        <v>0</v>
      </c>
    </row>
    <row r="92" spans="1:59" ht="17" thickTop="1" thickBot="1" x14ac:dyDescent="0.25">
      <c r="A92" s="7" t="str">
        <f>INDATA!A62</f>
        <v>Värmepump COP3</v>
      </c>
      <c r="B92" s="258">
        <f>UTDATA!Q127</f>
        <v>0</v>
      </c>
      <c r="C92" s="259">
        <f>UTDATA!R127</f>
        <v>0</v>
      </c>
      <c r="D92" s="259">
        <f>UTDATA!S127</f>
        <v>257.12085500357563</v>
      </c>
      <c r="E92" s="259">
        <f>UTDATA!T127</f>
        <v>274.60674610406471</v>
      </c>
      <c r="F92" s="259">
        <f>UTDATA!U127</f>
        <v>0</v>
      </c>
      <c r="G92" s="259">
        <f>UTDATA!V127</f>
        <v>0</v>
      </c>
      <c r="H92" s="259">
        <f>UTDATA!W127</f>
        <v>0</v>
      </c>
      <c r="I92" s="259">
        <f>UTDATA!X127</f>
        <v>0</v>
      </c>
      <c r="J92" s="259">
        <f>UTDATA!Y127</f>
        <v>0</v>
      </c>
      <c r="K92" s="259">
        <f>UTDATA!Z127</f>
        <v>255.60793207033365</v>
      </c>
      <c r="L92" s="259">
        <f>UTDATA!AA127</f>
        <v>224.08357710913384</v>
      </c>
      <c r="M92" s="259">
        <f>UTDATA!AB127</f>
        <v>0</v>
      </c>
      <c r="O92" s="7" t="str">
        <f>INDATA!A62</f>
        <v>Värmepump COP3</v>
      </c>
      <c r="P92" s="258">
        <f>UTDATA!Q114</f>
        <v>0</v>
      </c>
      <c r="Q92" s="260">
        <f>UTDATA!R114</f>
        <v>0</v>
      </c>
      <c r="R92" s="260">
        <f>UTDATA!S114</f>
        <v>67.16681068935462</v>
      </c>
      <c r="S92" s="260">
        <f>UTDATA!T114</f>
        <v>59.298268782328982</v>
      </c>
      <c r="T92" s="260">
        <f>UTDATA!U114</f>
        <v>0</v>
      </c>
      <c r="U92" s="260">
        <f>UTDATA!V114</f>
        <v>0</v>
      </c>
      <c r="V92" s="260">
        <f>UTDATA!W114</f>
        <v>0</v>
      </c>
      <c r="W92" s="260">
        <f>UTDATA!X114</f>
        <v>0</v>
      </c>
      <c r="X92" s="260">
        <f>UTDATA!Y114</f>
        <v>0</v>
      </c>
      <c r="Y92" s="260">
        <f>UTDATA!Z114</f>
        <v>41.214434490281995</v>
      </c>
      <c r="Z92" s="260">
        <f>UTDATA!AA114</f>
        <v>43.662919550411075</v>
      </c>
      <c r="AA92" s="261">
        <f>UTDATA!AB114</f>
        <v>0</v>
      </c>
    </row>
    <row r="93" spans="1:59" ht="17" thickTop="1" thickBot="1" x14ac:dyDescent="0.25">
      <c r="A93" s="7" t="str">
        <f>INDATA!A63</f>
        <v>Spillvärme industri</v>
      </c>
      <c r="B93" s="258">
        <f>UTDATA!Q128</f>
        <v>0</v>
      </c>
      <c r="C93" s="259">
        <f>UTDATA!R128</f>
        <v>0</v>
      </c>
      <c r="D93" s="259">
        <f>UTDATA!S128</f>
        <v>0</v>
      </c>
      <c r="E93" s="259">
        <f>UTDATA!T128</f>
        <v>0</v>
      </c>
      <c r="F93" s="259">
        <f>UTDATA!U128</f>
        <v>0</v>
      </c>
      <c r="G93" s="259">
        <f>UTDATA!V128</f>
        <v>0</v>
      </c>
      <c r="H93" s="259">
        <f>UTDATA!W128</f>
        <v>0</v>
      </c>
      <c r="I93" s="259">
        <f>UTDATA!X128</f>
        <v>0</v>
      </c>
      <c r="J93" s="259">
        <f>UTDATA!Y128</f>
        <v>0</v>
      </c>
      <c r="K93" s="259">
        <f>UTDATA!Z128</f>
        <v>0</v>
      </c>
      <c r="L93" s="259">
        <f>UTDATA!AA128</f>
        <v>0</v>
      </c>
      <c r="M93" s="259">
        <f>UTDATA!AB128</f>
        <v>0</v>
      </c>
      <c r="O93" s="7" t="str">
        <f>INDATA!A63</f>
        <v>Spillvärme industri</v>
      </c>
      <c r="P93" s="258">
        <f>UTDATA!Q115</f>
        <v>0</v>
      </c>
      <c r="Q93" s="260">
        <f>UTDATA!R115</f>
        <v>0</v>
      </c>
      <c r="R93" s="260">
        <f>UTDATA!S115</f>
        <v>0</v>
      </c>
      <c r="S93" s="260">
        <f>UTDATA!T115</f>
        <v>0</v>
      </c>
      <c r="T93" s="260">
        <f>UTDATA!U115</f>
        <v>0</v>
      </c>
      <c r="U93" s="260">
        <f>UTDATA!V115</f>
        <v>0</v>
      </c>
      <c r="V93" s="260">
        <f>UTDATA!W115</f>
        <v>0</v>
      </c>
      <c r="W93" s="260">
        <f>UTDATA!X115</f>
        <v>0</v>
      </c>
      <c r="X93" s="260">
        <f>UTDATA!Y115</f>
        <v>0</v>
      </c>
      <c r="Y93" s="260">
        <f>UTDATA!Z115</f>
        <v>0</v>
      </c>
      <c r="Z93" s="260">
        <f>UTDATA!AA115</f>
        <v>0</v>
      </c>
      <c r="AA93" s="261">
        <f>UTDATA!AB115</f>
        <v>0</v>
      </c>
    </row>
    <row r="94" spans="1:59" ht="17" thickTop="1" thickBot="1" x14ac:dyDescent="0.25">
      <c r="A94" s="7" t="str">
        <f>INDATA!A64</f>
        <v>HVC Gas</v>
      </c>
      <c r="B94" s="258">
        <f>UTDATA!Q129</f>
        <v>88.378549354421111</v>
      </c>
      <c r="C94" s="259">
        <f>UTDATA!R129</f>
        <v>82.825427427007114</v>
      </c>
      <c r="D94" s="259">
        <f>UTDATA!S129</f>
        <v>0</v>
      </c>
      <c r="E94" s="259">
        <f>UTDATA!T129</f>
        <v>0</v>
      </c>
      <c r="F94" s="259">
        <f>UTDATA!U129</f>
        <v>0</v>
      </c>
      <c r="G94" s="259">
        <f>UTDATA!V129</f>
        <v>0</v>
      </c>
      <c r="H94" s="259">
        <f>UTDATA!W129</f>
        <v>0</v>
      </c>
      <c r="I94" s="259">
        <f>UTDATA!X129</f>
        <v>0</v>
      </c>
      <c r="J94" s="259">
        <f>UTDATA!Y129</f>
        <v>0</v>
      </c>
      <c r="K94" s="259">
        <f>UTDATA!Z129</f>
        <v>0</v>
      </c>
      <c r="L94" s="259">
        <f>UTDATA!AA129</f>
        <v>0</v>
      </c>
      <c r="M94" s="259">
        <f>UTDATA!AB129</f>
        <v>82.848586174214617</v>
      </c>
      <c r="O94" s="7" t="str">
        <f>INDATA!A64</f>
        <v>HVC Gas</v>
      </c>
      <c r="P94" s="258">
        <f>UTDATA!Q116</f>
        <v>29.370911943819134</v>
      </c>
      <c r="Q94" s="260">
        <f>UTDATA!R116</f>
        <v>27.685598636242972</v>
      </c>
      <c r="R94" s="260">
        <f>UTDATA!S116</f>
        <v>0</v>
      </c>
      <c r="S94" s="260">
        <f>UTDATA!T116</f>
        <v>0</v>
      </c>
      <c r="T94" s="260">
        <f>UTDATA!U116</f>
        <v>0</v>
      </c>
      <c r="U94" s="260">
        <f>UTDATA!V116</f>
        <v>0</v>
      </c>
      <c r="V94" s="260">
        <f>UTDATA!W116</f>
        <v>0</v>
      </c>
      <c r="W94" s="260">
        <f>UTDATA!X116</f>
        <v>0</v>
      </c>
      <c r="X94" s="260">
        <f>UTDATA!Y116</f>
        <v>0</v>
      </c>
      <c r="Y94" s="260">
        <f>UTDATA!Z116</f>
        <v>0</v>
      </c>
      <c r="Z94" s="260">
        <f>UTDATA!AA116</f>
        <v>0</v>
      </c>
      <c r="AA94" s="261">
        <f>UTDATA!AB116</f>
        <v>28.281668831414898</v>
      </c>
    </row>
    <row r="95" spans="1:59" ht="17" thickTop="1" thickBot="1" x14ac:dyDescent="0.25">
      <c r="A95" s="7" t="str">
        <f>INDATA!A65</f>
        <v>KVV Gas</v>
      </c>
      <c r="B95" s="258">
        <f>UTDATA!Q130</f>
        <v>559.73081257800038</v>
      </c>
      <c r="C95" s="259">
        <f>UTDATA!R130</f>
        <v>524.56104037104501</v>
      </c>
      <c r="D95" s="259">
        <f>UTDATA!S130</f>
        <v>385.68128250536341</v>
      </c>
      <c r="E95" s="259">
        <f>UTDATA!T130</f>
        <v>0</v>
      </c>
      <c r="F95" s="259">
        <f>UTDATA!U130</f>
        <v>0</v>
      </c>
      <c r="G95" s="259">
        <f>UTDATA!V130</f>
        <v>0</v>
      </c>
      <c r="H95" s="259">
        <f>UTDATA!W130</f>
        <v>0</v>
      </c>
      <c r="I95" s="259">
        <f>UTDATA!X130</f>
        <v>0</v>
      </c>
      <c r="J95" s="259">
        <f>UTDATA!Y130</f>
        <v>0</v>
      </c>
      <c r="K95" s="259">
        <f>UTDATA!Z130</f>
        <v>0</v>
      </c>
      <c r="L95" s="259">
        <f>UTDATA!AA130</f>
        <v>336.12536566370073</v>
      </c>
      <c r="M95" s="259">
        <f>UTDATA!AB130</f>
        <v>524.70771243669253</v>
      </c>
      <c r="O95" s="7" t="str">
        <f>INDATA!A65</f>
        <v>KVV Gas</v>
      </c>
      <c r="P95" s="258">
        <f>UTDATA!Q117</f>
        <v>186.01577564418784</v>
      </c>
      <c r="Q95" s="260">
        <f>UTDATA!R117</f>
        <v>175.3421246962055</v>
      </c>
      <c r="R95" s="260">
        <f>UTDATA!S117</f>
        <v>100.75021603403194</v>
      </c>
      <c r="S95" s="260">
        <f>UTDATA!T117</f>
        <v>0</v>
      </c>
      <c r="T95" s="260">
        <f>UTDATA!U117</f>
        <v>0</v>
      </c>
      <c r="U95" s="260">
        <f>UTDATA!V117</f>
        <v>0</v>
      </c>
      <c r="V95" s="260">
        <f>UTDATA!W117</f>
        <v>0</v>
      </c>
      <c r="W95" s="260">
        <f>UTDATA!X117</f>
        <v>0</v>
      </c>
      <c r="X95" s="260">
        <f>UTDATA!Y117</f>
        <v>0</v>
      </c>
      <c r="Y95" s="260">
        <f>UTDATA!Z117</f>
        <v>0</v>
      </c>
      <c r="Z95" s="260">
        <f>UTDATA!AA117</f>
        <v>65.494379325616606</v>
      </c>
      <c r="AA95" s="261">
        <f>UTDATA!AB117</f>
        <v>179.11723593229436</v>
      </c>
    </row>
    <row r="96" spans="1:59" ht="17" thickTop="1" thickBot="1" x14ac:dyDescent="0.25">
      <c r="A96" s="7" t="str">
        <f>INDATA!A66</f>
        <v>Valfri 3</v>
      </c>
      <c r="B96" s="258">
        <f>UTDATA!Q131</f>
        <v>0</v>
      </c>
      <c r="C96" s="259">
        <f>UTDATA!R131</f>
        <v>0</v>
      </c>
      <c r="D96" s="259">
        <f>UTDATA!S131</f>
        <v>0</v>
      </c>
      <c r="E96" s="259">
        <f>UTDATA!T131</f>
        <v>0</v>
      </c>
      <c r="F96" s="259">
        <f>UTDATA!U131</f>
        <v>0</v>
      </c>
      <c r="G96" s="259">
        <f>UTDATA!V131</f>
        <v>0</v>
      </c>
      <c r="H96" s="259">
        <f>UTDATA!W131</f>
        <v>0</v>
      </c>
      <c r="I96" s="259">
        <f>UTDATA!X131</f>
        <v>0</v>
      </c>
      <c r="J96" s="259">
        <f>UTDATA!Y131</f>
        <v>0</v>
      </c>
      <c r="K96" s="259">
        <f>UTDATA!Z131</f>
        <v>0</v>
      </c>
      <c r="L96" s="259">
        <f>UTDATA!AA131</f>
        <v>0</v>
      </c>
      <c r="M96" s="259">
        <f>UTDATA!AB131</f>
        <v>0</v>
      </c>
      <c r="O96" s="7" t="str">
        <f>INDATA!A66</f>
        <v>Valfri 3</v>
      </c>
      <c r="P96" s="258">
        <f>UTDATA!Q118</f>
        <v>0</v>
      </c>
      <c r="Q96" s="260">
        <f>UTDATA!R118</f>
        <v>0</v>
      </c>
      <c r="R96" s="260">
        <f>UTDATA!S118</f>
        <v>0</v>
      </c>
      <c r="S96" s="260">
        <f>UTDATA!T118</f>
        <v>0</v>
      </c>
      <c r="T96" s="260">
        <f>UTDATA!U118</f>
        <v>0</v>
      </c>
      <c r="U96" s="260">
        <f>UTDATA!V118</f>
        <v>0</v>
      </c>
      <c r="V96" s="260">
        <f>UTDATA!W118</f>
        <v>0</v>
      </c>
      <c r="W96" s="260">
        <f>UTDATA!X118</f>
        <v>0</v>
      </c>
      <c r="X96" s="260">
        <f>UTDATA!Y118</f>
        <v>0</v>
      </c>
      <c r="Y96" s="260">
        <f>UTDATA!Z118</f>
        <v>0</v>
      </c>
      <c r="Z96" s="260">
        <f>UTDATA!AA118</f>
        <v>0</v>
      </c>
      <c r="AA96" s="261">
        <f>UTDATA!AB118</f>
        <v>0</v>
      </c>
    </row>
    <row r="97" spans="1:45" ht="17" thickTop="1" thickBot="1" x14ac:dyDescent="0.25">
      <c r="A97" s="30" t="s">
        <v>166</v>
      </c>
      <c r="B97" s="258">
        <f>SUM(B87:B96)</f>
        <v>736.48791128684263</v>
      </c>
      <c r="C97" s="259">
        <f t="shared" ref="C97:M97" si="70">SUM(C87:C96)</f>
        <v>690.21189522505927</v>
      </c>
      <c r="D97" s="259">
        <f t="shared" si="70"/>
        <v>642.80213750893904</v>
      </c>
      <c r="E97" s="259">
        <f t="shared" si="70"/>
        <v>457.67791017344121</v>
      </c>
      <c r="F97" s="259">
        <f t="shared" si="70"/>
        <v>285.06689547709806</v>
      </c>
      <c r="G97" s="259">
        <f t="shared" si="70"/>
        <v>170.98068497999478</v>
      </c>
      <c r="H97" s="259">
        <f t="shared" si="70"/>
        <v>133.68876500529836</v>
      </c>
      <c r="I97" s="259">
        <f t="shared" si="70"/>
        <v>162.69768827976179</v>
      </c>
      <c r="J97" s="259">
        <f t="shared" si="70"/>
        <v>243.75906438838544</v>
      </c>
      <c r="K97" s="259">
        <f t="shared" si="70"/>
        <v>426.01322011722277</v>
      </c>
      <c r="L97" s="259">
        <f t="shared" si="70"/>
        <v>560.20894277283458</v>
      </c>
      <c r="M97" s="259">
        <f t="shared" si="70"/>
        <v>690.40488478512179</v>
      </c>
      <c r="O97" s="30" t="s">
        <v>166</v>
      </c>
      <c r="P97" s="262">
        <f>SUM(P87:P96)</f>
        <v>244.75759953182612</v>
      </c>
      <c r="Q97" s="263">
        <f t="shared" ref="Q97:AA97" si="71">SUM(Q87:Q96)</f>
        <v>230.71332196869145</v>
      </c>
      <c r="R97" s="263">
        <f t="shared" si="71"/>
        <v>167.91702672338656</v>
      </c>
      <c r="S97" s="263">
        <f t="shared" si="71"/>
        <v>98.830447970548306</v>
      </c>
      <c r="T97" s="263">
        <f t="shared" si="71"/>
        <v>1307.4997864595998</v>
      </c>
      <c r="U97" s="263">
        <f t="shared" si="71"/>
        <v>1741.9331804114488</v>
      </c>
      <c r="V97" s="263">
        <f t="shared" si="71"/>
        <v>1667.3661218016716</v>
      </c>
      <c r="W97" s="263">
        <f t="shared" si="71"/>
        <v>1212.9041023575858</v>
      </c>
      <c r="X97" s="263">
        <f t="shared" si="71"/>
        <v>897.94956347467632</v>
      </c>
      <c r="Y97" s="263">
        <f t="shared" si="71"/>
        <v>68.69072415046999</v>
      </c>
      <c r="Z97" s="263">
        <f t="shared" si="71"/>
        <v>109.15729887602768</v>
      </c>
      <c r="AA97" s="264">
        <f t="shared" si="71"/>
        <v>235.68057359512414</v>
      </c>
    </row>
    <row r="98" spans="1:45" ht="16" thickTop="1" x14ac:dyDescent="0.2">
      <c r="A98" s="155"/>
    </row>
    <row r="99" spans="1:45" x14ac:dyDescent="0.2">
      <c r="A99" s="67" t="s">
        <v>267</v>
      </c>
      <c r="B99" s="67"/>
      <c r="C99" s="67"/>
      <c r="D99" s="67"/>
      <c r="E99" s="5"/>
      <c r="F99" s="5"/>
      <c r="G99" s="5"/>
      <c r="H99" s="5"/>
      <c r="I99" s="5"/>
      <c r="J99" s="5"/>
      <c r="K99" s="5"/>
      <c r="L99" s="5"/>
      <c r="M99" s="5"/>
      <c r="AR99" s="296"/>
      <c r="AS99" s="296"/>
    </row>
    <row r="100" spans="1:45" x14ac:dyDescent="0.2">
      <c r="A100" s="6" t="s">
        <v>19</v>
      </c>
      <c r="B100" s="202" t="s">
        <v>20</v>
      </c>
      <c r="C100" s="203" t="s">
        <v>21</v>
      </c>
      <c r="D100" s="203" t="s">
        <v>22</v>
      </c>
      <c r="E100" s="203" t="s">
        <v>23</v>
      </c>
      <c r="F100" s="203" t="s">
        <v>24</v>
      </c>
      <c r="G100" s="203" t="s">
        <v>25</v>
      </c>
      <c r="H100" s="203" t="s">
        <v>26</v>
      </c>
      <c r="I100" s="203" t="s">
        <v>27</v>
      </c>
      <c r="J100" s="203" t="s">
        <v>28</v>
      </c>
      <c r="K100" s="203" t="s">
        <v>29</v>
      </c>
      <c r="L100" s="203" t="s">
        <v>30</v>
      </c>
      <c r="M100" s="204" t="s">
        <v>31</v>
      </c>
    </row>
    <row r="101" spans="1:45" ht="16" thickBot="1" x14ac:dyDescent="0.25">
      <c r="A101" s="7" t="str">
        <f>INDATA!A57</f>
        <v>HVC EO1</v>
      </c>
      <c r="B101" s="241">
        <f>'ÄNDRINGSBARA PARAMETRAR'!$B$77</f>
        <v>800</v>
      </c>
      <c r="C101" s="242">
        <f>'ÄNDRINGSBARA PARAMETRAR'!$B$77</f>
        <v>800</v>
      </c>
      <c r="D101" s="242">
        <f>'ÄNDRINGSBARA PARAMETRAR'!$B$77</f>
        <v>800</v>
      </c>
      <c r="E101" s="242">
        <f>'ÄNDRINGSBARA PARAMETRAR'!$B$77</f>
        <v>800</v>
      </c>
      <c r="F101" s="242">
        <f>'ÄNDRINGSBARA PARAMETRAR'!$B$77</f>
        <v>800</v>
      </c>
      <c r="G101" s="242">
        <f>'ÄNDRINGSBARA PARAMETRAR'!$B$77</f>
        <v>800</v>
      </c>
      <c r="H101" s="242">
        <f>'ÄNDRINGSBARA PARAMETRAR'!$B$77</f>
        <v>800</v>
      </c>
      <c r="I101" s="242">
        <f>'ÄNDRINGSBARA PARAMETRAR'!$B$77</f>
        <v>800</v>
      </c>
      <c r="J101" s="242">
        <f>'ÄNDRINGSBARA PARAMETRAR'!$B$77</f>
        <v>800</v>
      </c>
      <c r="K101" s="242">
        <f>'ÄNDRINGSBARA PARAMETRAR'!$B$77</f>
        <v>800</v>
      </c>
      <c r="L101" s="242">
        <f>'ÄNDRINGSBARA PARAMETRAR'!$B$77</f>
        <v>800</v>
      </c>
      <c r="M101" s="243">
        <f>'ÄNDRINGSBARA PARAMETRAR'!$B$77</f>
        <v>800</v>
      </c>
    </row>
    <row r="102" spans="1:45" ht="17" thickTop="1" thickBot="1" x14ac:dyDescent="0.25">
      <c r="A102" s="7" t="str">
        <f>INDATA!A58</f>
        <v>HVC bioolja</v>
      </c>
      <c r="B102" s="241">
        <f>'ÄNDRINGSBARA PARAMETRAR'!$B$78</f>
        <v>400</v>
      </c>
      <c r="C102" s="242">
        <f>'ÄNDRINGSBARA PARAMETRAR'!$B$78</f>
        <v>400</v>
      </c>
      <c r="D102" s="242">
        <f>'ÄNDRINGSBARA PARAMETRAR'!$B$78</f>
        <v>400</v>
      </c>
      <c r="E102" s="242">
        <f>'ÄNDRINGSBARA PARAMETRAR'!$B$78</f>
        <v>400</v>
      </c>
      <c r="F102" s="242">
        <f>'ÄNDRINGSBARA PARAMETRAR'!$B$78</f>
        <v>400</v>
      </c>
      <c r="G102" s="242">
        <f>'ÄNDRINGSBARA PARAMETRAR'!$B$78</f>
        <v>400</v>
      </c>
      <c r="H102" s="242">
        <f>'ÄNDRINGSBARA PARAMETRAR'!$B$78</f>
        <v>400</v>
      </c>
      <c r="I102" s="242">
        <f>'ÄNDRINGSBARA PARAMETRAR'!$B$78</f>
        <v>400</v>
      </c>
      <c r="J102" s="242">
        <f>'ÄNDRINGSBARA PARAMETRAR'!$B$78</f>
        <v>400</v>
      </c>
      <c r="K102" s="242">
        <f>'ÄNDRINGSBARA PARAMETRAR'!$B$78</f>
        <v>400</v>
      </c>
      <c r="L102" s="242">
        <f>'ÄNDRINGSBARA PARAMETRAR'!$B$78</f>
        <v>400</v>
      </c>
      <c r="M102" s="243">
        <f>'ÄNDRINGSBARA PARAMETRAR'!$B$78</f>
        <v>400</v>
      </c>
    </row>
    <row r="103" spans="1:45" ht="17" thickTop="1" thickBot="1" x14ac:dyDescent="0.25">
      <c r="A103" s="7" t="str">
        <f>INDATA!A59</f>
        <v>HVC pellets</v>
      </c>
      <c r="B103" s="241">
        <f>'ÄNDRINGSBARA PARAMETRAR'!$B$79</f>
        <v>300</v>
      </c>
      <c r="C103" s="242">
        <f>'ÄNDRINGSBARA PARAMETRAR'!$B$79</f>
        <v>300</v>
      </c>
      <c r="D103" s="242">
        <f>'ÄNDRINGSBARA PARAMETRAR'!$B$79</f>
        <v>300</v>
      </c>
      <c r="E103" s="242">
        <f>'ÄNDRINGSBARA PARAMETRAR'!$B$79</f>
        <v>300</v>
      </c>
      <c r="F103" s="242">
        <f>'ÄNDRINGSBARA PARAMETRAR'!$B$79</f>
        <v>300</v>
      </c>
      <c r="G103" s="242">
        <f>'ÄNDRINGSBARA PARAMETRAR'!$B$79</f>
        <v>300</v>
      </c>
      <c r="H103" s="242">
        <f>'ÄNDRINGSBARA PARAMETRAR'!$B$79</f>
        <v>300</v>
      </c>
      <c r="I103" s="242">
        <f>'ÄNDRINGSBARA PARAMETRAR'!$B$79</f>
        <v>300</v>
      </c>
      <c r="J103" s="242">
        <f>'ÄNDRINGSBARA PARAMETRAR'!$B$79</f>
        <v>300</v>
      </c>
      <c r="K103" s="242">
        <f>'ÄNDRINGSBARA PARAMETRAR'!$B$79</f>
        <v>300</v>
      </c>
      <c r="L103" s="242">
        <f>'ÄNDRINGSBARA PARAMETRAR'!$B$79</f>
        <v>300</v>
      </c>
      <c r="M103" s="243">
        <f>'ÄNDRINGSBARA PARAMETRAR'!$B$79</f>
        <v>300</v>
      </c>
      <c r="N103" s="55"/>
    </row>
    <row r="104" spans="1:45" ht="17" thickTop="1" thickBot="1" x14ac:dyDescent="0.25">
      <c r="A104" s="7" t="str">
        <f>INDATA!A60</f>
        <v>KVV avfall</v>
      </c>
      <c r="B104" s="241">
        <f>'ÄNDRINGSBARA PARAMETRAR'!$B$80</f>
        <v>50</v>
      </c>
      <c r="C104" s="242">
        <f>'ÄNDRINGSBARA PARAMETRAR'!$B$80</f>
        <v>50</v>
      </c>
      <c r="D104" s="242">
        <f>'ÄNDRINGSBARA PARAMETRAR'!$B$80</f>
        <v>50</v>
      </c>
      <c r="E104" s="242">
        <f>'ÄNDRINGSBARA PARAMETRAR'!$B$80</f>
        <v>50</v>
      </c>
      <c r="F104" s="242">
        <f>'ÄNDRINGSBARA PARAMETRAR'!$B$80</f>
        <v>50</v>
      </c>
      <c r="G104" s="242">
        <f>'ÄNDRINGSBARA PARAMETRAR'!$B$80</f>
        <v>50</v>
      </c>
      <c r="H104" s="242">
        <f>'ÄNDRINGSBARA PARAMETRAR'!$B$80</f>
        <v>50</v>
      </c>
      <c r="I104" s="242">
        <f>'ÄNDRINGSBARA PARAMETRAR'!$B$80</f>
        <v>50</v>
      </c>
      <c r="J104" s="242">
        <f>'ÄNDRINGSBARA PARAMETRAR'!$B$80</f>
        <v>50</v>
      </c>
      <c r="K104" s="242">
        <f>'ÄNDRINGSBARA PARAMETRAR'!$B$80</f>
        <v>50</v>
      </c>
      <c r="L104" s="242">
        <f>'ÄNDRINGSBARA PARAMETRAR'!$B$80</f>
        <v>50</v>
      </c>
      <c r="M104" s="243">
        <f>'ÄNDRINGSBARA PARAMETRAR'!$B$80</f>
        <v>50</v>
      </c>
      <c r="N104" s="55"/>
    </row>
    <row r="105" spans="1:45" ht="17" thickTop="1" thickBot="1" x14ac:dyDescent="0.25">
      <c r="A105" s="7" t="str">
        <f>INDATA!A61</f>
        <v>KVV grot</v>
      </c>
      <c r="B105" s="241">
        <f>'ÄNDRINGSBARA PARAMETRAR'!$B$81</f>
        <v>180</v>
      </c>
      <c r="C105" s="242">
        <f>'ÄNDRINGSBARA PARAMETRAR'!$B$81</f>
        <v>180</v>
      </c>
      <c r="D105" s="242">
        <f>'ÄNDRINGSBARA PARAMETRAR'!$B$81</f>
        <v>180</v>
      </c>
      <c r="E105" s="242">
        <f>'ÄNDRINGSBARA PARAMETRAR'!$B$81</f>
        <v>180</v>
      </c>
      <c r="F105" s="242">
        <f>'ÄNDRINGSBARA PARAMETRAR'!$B$81</f>
        <v>180</v>
      </c>
      <c r="G105" s="242">
        <f>'ÄNDRINGSBARA PARAMETRAR'!$B$81</f>
        <v>180</v>
      </c>
      <c r="H105" s="242">
        <f>'ÄNDRINGSBARA PARAMETRAR'!$B$81</f>
        <v>180</v>
      </c>
      <c r="I105" s="242">
        <f>'ÄNDRINGSBARA PARAMETRAR'!$B$81</f>
        <v>180</v>
      </c>
      <c r="J105" s="242">
        <f>'ÄNDRINGSBARA PARAMETRAR'!$B$81</f>
        <v>180</v>
      </c>
      <c r="K105" s="242">
        <f>'ÄNDRINGSBARA PARAMETRAR'!$B$81</f>
        <v>180</v>
      </c>
      <c r="L105" s="242">
        <f>'ÄNDRINGSBARA PARAMETRAR'!$B$81</f>
        <v>180</v>
      </c>
      <c r="M105" s="243">
        <f>'ÄNDRINGSBARA PARAMETRAR'!$B$81</f>
        <v>180</v>
      </c>
      <c r="N105" s="187"/>
    </row>
    <row r="106" spans="1:45" ht="17" thickTop="1" thickBot="1" x14ac:dyDescent="0.25">
      <c r="A106" s="7" t="str">
        <f>INDATA!A62</f>
        <v>Värmepump COP3</v>
      </c>
      <c r="B106" s="241">
        <f>'ÄNDRINGSBARA PARAMETRAR'!$B$82</f>
        <v>150</v>
      </c>
      <c r="C106" s="242">
        <f>'ÄNDRINGSBARA PARAMETRAR'!$B$82</f>
        <v>150</v>
      </c>
      <c r="D106" s="242">
        <f>'ÄNDRINGSBARA PARAMETRAR'!$B$82</f>
        <v>150</v>
      </c>
      <c r="E106" s="242">
        <f>'ÄNDRINGSBARA PARAMETRAR'!$B$82</f>
        <v>150</v>
      </c>
      <c r="F106" s="242">
        <f>'ÄNDRINGSBARA PARAMETRAR'!$B$82</f>
        <v>150</v>
      </c>
      <c r="G106" s="242">
        <f>'ÄNDRINGSBARA PARAMETRAR'!$B$82</f>
        <v>150</v>
      </c>
      <c r="H106" s="242">
        <f>'ÄNDRINGSBARA PARAMETRAR'!$B$82</f>
        <v>150</v>
      </c>
      <c r="I106" s="242">
        <f>'ÄNDRINGSBARA PARAMETRAR'!$B$82</f>
        <v>150</v>
      </c>
      <c r="J106" s="242">
        <f>'ÄNDRINGSBARA PARAMETRAR'!$B$82</f>
        <v>150</v>
      </c>
      <c r="K106" s="242">
        <f>'ÄNDRINGSBARA PARAMETRAR'!$B$82</f>
        <v>150</v>
      </c>
      <c r="L106" s="242">
        <f>'ÄNDRINGSBARA PARAMETRAR'!$B$82</f>
        <v>150</v>
      </c>
      <c r="M106" s="243">
        <f>'ÄNDRINGSBARA PARAMETRAR'!$B$82</f>
        <v>150</v>
      </c>
      <c r="N106" s="187"/>
    </row>
    <row r="107" spans="1:45" ht="17" thickTop="1" thickBot="1" x14ac:dyDescent="0.25">
      <c r="A107" s="7" t="str">
        <f>INDATA!A63</f>
        <v>Spillvärme industri</v>
      </c>
      <c r="B107" s="241">
        <f>'ÄNDRINGSBARA PARAMETRAR'!$B$83</f>
        <v>50</v>
      </c>
      <c r="C107" s="242">
        <f>'ÄNDRINGSBARA PARAMETRAR'!$B$83</f>
        <v>50</v>
      </c>
      <c r="D107" s="242">
        <f>'ÄNDRINGSBARA PARAMETRAR'!$B$83</f>
        <v>50</v>
      </c>
      <c r="E107" s="242">
        <f>'ÄNDRINGSBARA PARAMETRAR'!$B$83</f>
        <v>50</v>
      </c>
      <c r="F107" s="242">
        <f>'ÄNDRINGSBARA PARAMETRAR'!$B$83</f>
        <v>50</v>
      </c>
      <c r="G107" s="242">
        <f>'ÄNDRINGSBARA PARAMETRAR'!$B$83</f>
        <v>50</v>
      </c>
      <c r="H107" s="242">
        <f>'ÄNDRINGSBARA PARAMETRAR'!$B$83</f>
        <v>50</v>
      </c>
      <c r="I107" s="242">
        <f>'ÄNDRINGSBARA PARAMETRAR'!$B$83</f>
        <v>50</v>
      </c>
      <c r="J107" s="242">
        <f>'ÄNDRINGSBARA PARAMETRAR'!$B$83</f>
        <v>50</v>
      </c>
      <c r="K107" s="242">
        <f>'ÄNDRINGSBARA PARAMETRAR'!$B$83</f>
        <v>50</v>
      </c>
      <c r="L107" s="242">
        <f>'ÄNDRINGSBARA PARAMETRAR'!$B$83</f>
        <v>50</v>
      </c>
      <c r="M107" s="243">
        <f>'ÄNDRINGSBARA PARAMETRAR'!$B$83</f>
        <v>50</v>
      </c>
      <c r="N107" s="187"/>
    </row>
    <row r="108" spans="1:45" ht="17" thickTop="1" thickBot="1" x14ac:dyDescent="0.25">
      <c r="A108" s="7" t="str">
        <f>INDATA!A64</f>
        <v>HVC Gas</v>
      </c>
      <c r="B108" s="241">
        <f>'ÄNDRINGSBARA PARAMETRAR'!$B$84</f>
        <v>300</v>
      </c>
      <c r="C108" s="242">
        <f>'ÄNDRINGSBARA PARAMETRAR'!$B$84</f>
        <v>300</v>
      </c>
      <c r="D108" s="242">
        <f>'ÄNDRINGSBARA PARAMETRAR'!$B$84</f>
        <v>300</v>
      </c>
      <c r="E108" s="242">
        <f>'ÄNDRINGSBARA PARAMETRAR'!$B$84</f>
        <v>300</v>
      </c>
      <c r="F108" s="242">
        <f>'ÄNDRINGSBARA PARAMETRAR'!$B$84</f>
        <v>300</v>
      </c>
      <c r="G108" s="242">
        <f>'ÄNDRINGSBARA PARAMETRAR'!$B$84</f>
        <v>300</v>
      </c>
      <c r="H108" s="242">
        <f>'ÄNDRINGSBARA PARAMETRAR'!$B$84</f>
        <v>300</v>
      </c>
      <c r="I108" s="242">
        <f>'ÄNDRINGSBARA PARAMETRAR'!$B$84</f>
        <v>300</v>
      </c>
      <c r="J108" s="242">
        <f>'ÄNDRINGSBARA PARAMETRAR'!$B$84</f>
        <v>300</v>
      </c>
      <c r="K108" s="242">
        <f>'ÄNDRINGSBARA PARAMETRAR'!$B$84</f>
        <v>300</v>
      </c>
      <c r="L108" s="242">
        <f>'ÄNDRINGSBARA PARAMETRAR'!$B$84</f>
        <v>300</v>
      </c>
      <c r="M108" s="243">
        <f>'ÄNDRINGSBARA PARAMETRAR'!$B$84</f>
        <v>300</v>
      </c>
      <c r="N108" s="187"/>
    </row>
    <row r="109" spans="1:45" ht="17" thickTop="1" thickBot="1" x14ac:dyDescent="0.25">
      <c r="A109" s="7" t="str">
        <f>INDATA!A65</f>
        <v>KVV Gas</v>
      </c>
      <c r="B109" s="241">
        <f>'ÄNDRINGSBARA PARAMETRAR'!$B$85</f>
        <v>200</v>
      </c>
      <c r="C109" s="242">
        <f>'ÄNDRINGSBARA PARAMETRAR'!$B$85</f>
        <v>200</v>
      </c>
      <c r="D109" s="242">
        <f>'ÄNDRINGSBARA PARAMETRAR'!$B$85</f>
        <v>200</v>
      </c>
      <c r="E109" s="242">
        <f>'ÄNDRINGSBARA PARAMETRAR'!$B$85</f>
        <v>200</v>
      </c>
      <c r="F109" s="242">
        <f>'ÄNDRINGSBARA PARAMETRAR'!$B$85</f>
        <v>200</v>
      </c>
      <c r="G109" s="242">
        <f>'ÄNDRINGSBARA PARAMETRAR'!$B$85</f>
        <v>200</v>
      </c>
      <c r="H109" s="242">
        <f>'ÄNDRINGSBARA PARAMETRAR'!$B$85</f>
        <v>200</v>
      </c>
      <c r="I109" s="242">
        <f>'ÄNDRINGSBARA PARAMETRAR'!$B$85</f>
        <v>200</v>
      </c>
      <c r="J109" s="242">
        <f>'ÄNDRINGSBARA PARAMETRAR'!$B$85</f>
        <v>200</v>
      </c>
      <c r="K109" s="242">
        <f>'ÄNDRINGSBARA PARAMETRAR'!$B$85</f>
        <v>200</v>
      </c>
      <c r="L109" s="242">
        <f>'ÄNDRINGSBARA PARAMETRAR'!$B$85</f>
        <v>200</v>
      </c>
      <c r="M109" s="243">
        <f>'ÄNDRINGSBARA PARAMETRAR'!$B$85</f>
        <v>200</v>
      </c>
      <c r="N109" s="27"/>
    </row>
    <row r="110" spans="1:45" ht="16" thickTop="1" x14ac:dyDescent="0.2">
      <c r="A110" s="7" t="str">
        <f>INDATA!A66</f>
        <v>Valfri 3</v>
      </c>
      <c r="B110" s="244">
        <f>'ÄNDRINGSBARA PARAMETRAR'!$B$86</f>
        <v>0</v>
      </c>
      <c r="C110" s="245">
        <f>'ÄNDRINGSBARA PARAMETRAR'!$B$86</f>
        <v>0</v>
      </c>
      <c r="D110" s="245">
        <f>'ÄNDRINGSBARA PARAMETRAR'!$B$86</f>
        <v>0</v>
      </c>
      <c r="E110" s="245">
        <f>'ÄNDRINGSBARA PARAMETRAR'!$B$86</f>
        <v>0</v>
      </c>
      <c r="F110" s="245">
        <f>'ÄNDRINGSBARA PARAMETRAR'!$B$86</f>
        <v>0</v>
      </c>
      <c r="G110" s="245">
        <f>'ÄNDRINGSBARA PARAMETRAR'!$B$86</f>
        <v>0</v>
      </c>
      <c r="H110" s="245">
        <f>'ÄNDRINGSBARA PARAMETRAR'!$B$86</f>
        <v>0</v>
      </c>
      <c r="I110" s="245">
        <f>'ÄNDRINGSBARA PARAMETRAR'!$B$86</f>
        <v>0</v>
      </c>
      <c r="J110" s="245">
        <f>'ÄNDRINGSBARA PARAMETRAR'!$B$86</f>
        <v>0</v>
      </c>
      <c r="K110" s="245">
        <f>'ÄNDRINGSBARA PARAMETRAR'!$B$86</f>
        <v>0</v>
      </c>
      <c r="L110" s="245">
        <f>'ÄNDRINGSBARA PARAMETRAR'!$B$86</f>
        <v>0</v>
      </c>
      <c r="M110" s="246">
        <f>'ÄNDRINGSBARA PARAMETRAR'!$B$86</f>
        <v>0</v>
      </c>
      <c r="N110" s="27"/>
    </row>
    <row r="112" spans="1:45" x14ac:dyDescent="0.2">
      <c r="A112" s="67" t="s">
        <v>209</v>
      </c>
      <c r="B112" s="67"/>
      <c r="C112" s="67"/>
      <c r="D112" s="67"/>
      <c r="E112" s="5"/>
      <c r="F112" s="5"/>
      <c r="G112" s="5"/>
      <c r="H112" s="5"/>
      <c r="I112" s="5"/>
      <c r="J112" s="5"/>
      <c r="K112" s="5"/>
      <c r="L112" s="5"/>
      <c r="M112" s="5"/>
    </row>
    <row r="113" spans="1:15" x14ac:dyDescent="0.2">
      <c r="A113" s="6" t="s">
        <v>19</v>
      </c>
      <c r="B113" s="202" t="s">
        <v>20</v>
      </c>
      <c r="C113" s="203" t="s">
        <v>21</v>
      </c>
      <c r="D113" s="203" t="s">
        <v>22</v>
      </c>
      <c r="E113" s="203" t="s">
        <v>23</v>
      </c>
      <c r="F113" s="203" t="s">
        <v>24</v>
      </c>
      <c r="G113" s="203" t="s">
        <v>25</v>
      </c>
      <c r="H113" s="203" t="s">
        <v>26</v>
      </c>
      <c r="I113" s="203" t="s">
        <v>27</v>
      </c>
      <c r="J113" s="203" t="s">
        <v>28</v>
      </c>
      <c r="K113" s="203" t="s">
        <v>29</v>
      </c>
      <c r="L113" s="203" t="s">
        <v>30</v>
      </c>
      <c r="M113" s="204" t="s">
        <v>31</v>
      </c>
    </row>
    <row r="114" spans="1:15" x14ac:dyDescent="0.2">
      <c r="A114" s="7" t="str">
        <f>INDATA!A57</f>
        <v>HVC EO1</v>
      </c>
      <c r="B114" s="208">
        <f>'ÄNDRINGSBARA PARAMETRAR'!$B$77*('ÄNDRINGSBARA PARAMETRAR'!$B$129+1)</f>
        <v>880.00000000000011</v>
      </c>
      <c r="C114" s="208">
        <f>'ÄNDRINGSBARA PARAMETRAR'!$B$77*('ÄNDRINGSBARA PARAMETRAR'!$B$129+1)</f>
        <v>880.00000000000011</v>
      </c>
      <c r="D114" s="208">
        <f>'ÄNDRINGSBARA PARAMETRAR'!$B$77*('ÄNDRINGSBARA PARAMETRAR'!$B$129+1)</f>
        <v>880.00000000000011</v>
      </c>
      <c r="E114" s="208">
        <f>'ÄNDRINGSBARA PARAMETRAR'!$B$77*('ÄNDRINGSBARA PARAMETRAR'!$B$129+1)</f>
        <v>880.00000000000011</v>
      </c>
      <c r="F114" s="208">
        <f>'ÄNDRINGSBARA PARAMETRAR'!$B$77*('ÄNDRINGSBARA PARAMETRAR'!$B$129+1)</f>
        <v>880.00000000000011</v>
      </c>
      <c r="G114" s="208">
        <f>'ÄNDRINGSBARA PARAMETRAR'!$B$77*('ÄNDRINGSBARA PARAMETRAR'!$B$129+1)</f>
        <v>880.00000000000011</v>
      </c>
      <c r="H114" s="208">
        <f>'ÄNDRINGSBARA PARAMETRAR'!$B$77*('ÄNDRINGSBARA PARAMETRAR'!$B$129+1)</f>
        <v>880.00000000000011</v>
      </c>
      <c r="I114" s="208">
        <f>'ÄNDRINGSBARA PARAMETRAR'!$B$77*('ÄNDRINGSBARA PARAMETRAR'!$B$129+1)</f>
        <v>880.00000000000011</v>
      </c>
      <c r="J114" s="208">
        <f>'ÄNDRINGSBARA PARAMETRAR'!$B$77*('ÄNDRINGSBARA PARAMETRAR'!$B$129+1)</f>
        <v>880.00000000000011</v>
      </c>
      <c r="K114" s="208">
        <f>'ÄNDRINGSBARA PARAMETRAR'!$B$77*('ÄNDRINGSBARA PARAMETRAR'!$B$129+1)</f>
        <v>880.00000000000011</v>
      </c>
      <c r="L114" s="208">
        <f>'ÄNDRINGSBARA PARAMETRAR'!$B$77*('ÄNDRINGSBARA PARAMETRAR'!$B$129+1)</f>
        <v>880.00000000000011</v>
      </c>
      <c r="M114" s="208">
        <f>'ÄNDRINGSBARA PARAMETRAR'!$B$77*('ÄNDRINGSBARA PARAMETRAR'!$B$129+1)</f>
        <v>880.00000000000011</v>
      </c>
    </row>
    <row r="115" spans="1:15" x14ac:dyDescent="0.2">
      <c r="A115" s="7" t="str">
        <f>INDATA!A58</f>
        <v>HVC bioolja</v>
      </c>
      <c r="B115" s="208">
        <f>'ÄNDRINGSBARA PARAMETRAR'!$B$78*('ÄNDRINGSBARA PARAMETRAR'!$B$129+1)</f>
        <v>440.00000000000006</v>
      </c>
      <c r="C115" s="208">
        <f>'ÄNDRINGSBARA PARAMETRAR'!$B$78*('ÄNDRINGSBARA PARAMETRAR'!$B$129+1)</f>
        <v>440.00000000000006</v>
      </c>
      <c r="D115" s="208">
        <f>'ÄNDRINGSBARA PARAMETRAR'!$B$78*('ÄNDRINGSBARA PARAMETRAR'!$B$129+1)</f>
        <v>440.00000000000006</v>
      </c>
      <c r="E115" s="208">
        <f>'ÄNDRINGSBARA PARAMETRAR'!$B$78*('ÄNDRINGSBARA PARAMETRAR'!$B$129+1)</f>
        <v>440.00000000000006</v>
      </c>
      <c r="F115" s="208">
        <f>'ÄNDRINGSBARA PARAMETRAR'!$B$78*('ÄNDRINGSBARA PARAMETRAR'!$B$129+1)</f>
        <v>440.00000000000006</v>
      </c>
      <c r="G115" s="208">
        <f>'ÄNDRINGSBARA PARAMETRAR'!$B$78*('ÄNDRINGSBARA PARAMETRAR'!$B$129+1)</f>
        <v>440.00000000000006</v>
      </c>
      <c r="H115" s="208">
        <f>'ÄNDRINGSBARA PARAMETRAR'!$B$78*('ÄNDRINGSBARA PARAMETRAR'!$B$129+1)</f>
        <v>440.00000000000006</v>
      </c>
      <c r="I115" s="208">
        <f>'ÄNDRINGSBARA PARAMETRAR'!$B$78*('ÄNDRINGSBARA PARAMETRAR'!$B$129+1)</f>
        <v>440.00000000000006</v>
      </c>
      <c r="J115" s="208">
        <f>'ÄNDRINGSBARA PARAMETRAR'!$B$78*('ÄNDRINGSBARA PARAMETRAR'!$B$129+1)</f>
        <v>440.00000000000006</v>
      </c>
      <c r="K115" s="208">
        <f>'ÄNDRINGSBARA PARAMETRAR'!$B$78*('ÄNDRINGSBARA PARAMETRAR'!$B$129+1)</f>
        <v>440.00000000000006</v>
      </c>
      <c r="L115" s="208">
        <f>'ÄNDRINGSBARA PARAMETRAR'!$B$78*('ÄNDRINGSBARA PARAMETRAR'!$B$129+1)</f>
        <v>440.00000000000006</v>
      </c>
      <c r="M115" s="208">
        <f>'ÄNDRINGSBARA PARAMETRAR'!$B$78*('ÄNDRINGSBARA PARAMETRAR'!$B$129+1)</f>
        <v>440.00000000000006</v>
      </c>
    </row>
    <row r="116" spans="1:15" x14ac:dyDescent="0.2">
      <c r="A116" s="7" t="str">
        <f>INDATA!A59</f>
        <v>HVC pellets</v>
      </c>
      <c r="B116" s="208">
        <f>'ÄNDRINGSBARA PARAMETRAR'!$B$79*('ÄNDRINGSBARA PARAMETRAR'!$B$129+1)</f>
        <v>330</v>
      </c>
      <c r="C116" s="208">
        <f>'ÄNDRINGSBARA PARAMETRAR'!$B$79*('ÄNDRINGSBARA PARAMETRAR'!$B$129+1)</f>
        <v>330</v>
      </c>
      <c r="D116" s="208">
        <f>'ÄNDRINGSBARA PARAMETRAR'!$B$79*('ÄNDRINGSBARA PARAMETRAR'!$B$129+1)</f>
        <v>330</v>
      </c>
      <c r="E116" s="208">
        <f>'ÄNDRINGSBARA PARAMETRAR'!$B$79*('ÄNDRINGSBARA PARAMETRAR'!$B$129+1)</f>
        <v>330</v>
      </c>
      <c r="F116" s="208">
        <f>'ÄNDRINGSBARA PARAMETRAR'!$B$79*('ÄNDRINGSBARA PARAMETRAR'!$B$129+1)</f>
        <v>330</v>
      </c>
      <c r="G116" s="208">
        <f>'ÄNDRINGSBARA PARAMETRAR'!$B$79*('ÄNDRINGSBARA PARAMETRAR'!$B$129+1)</f>
        <v>330</v>
      </c>
      <c r="H116" s="208">
        <f>'ÄNDRINGSBARA PARAMETRAR'!$B$79*('ÄNDRINGSBARA PARAMETRAR'!$B$129+1)</f>
        <v>330</v>
      </c>
      <c r="I116" s="208">
        <f>'ÄNDRINGSBARA PARAMETRAR'!$B$79*('ÄNDRINGSBARA PARAMETRAR'!$B$129+1)</f>
        <v>330</v>
      </c>
      <c r="J116" s="208">
        <f>'ÄNDRINGSBARA PARAMETRAR'!$B$79*('ÄNDRINGSBARA PARAMETRAR'!$B$129+1)</f>
        <v>330</v>
      </c>
      <c r="K116" s="208">
        <f>'ÄNDRINGSBARA PARAMETRAR'!$B$79*('ÄNDRINGSBARA PARAMETRAR'!$B$129+1)</f>
        <v>330</v>
      </c>
      <c r="L116" s="208">
        <f>'ÄNDRINGSBARA PARAMETRAR'!$B$79*('ÄNDRINGSBARA PARAMETRAR'!$B$129+1)</f>
        <v>330</v>
      </c>
      <c r="M116" s="208">
        <f>'ÄNDRINGSBARA PARAMETRAR'!$B$79*('ÄNDRINGSBARA PARAMETRAR'!$B$129+1)</f>
        <v>330</v>
      </c>
      <c r="N116" s="55"/>
    </row>
    <row r="117" spans="1:15" x14ac:dyDescent="0.2">
      <c r="A117" s="7" t="str">
        <f>INDATA!A60</f>
        <v>KVV avfall</v>
      </c>
      <c r="B117" s="208">
        <f>'ÄNDRINGSBARA PARAMETRAR'!$B$80*('ÄNDRINGSBARA PARAMETRAR'!$B$129+1)</f>
        <v>55.000000000000007</v>
      </c>
      <c r="C117" s="208">
        <f>'ÄNDRINGSBARA PARAMETRAR'!$B$80*('ÄNDRINGSBARA PARAMETRAR'!$B$129+1)</f>
        <v>55.000000000000007</v>
      </c>
      <c r="D117" s="208">
        <f>'ÄNDRINGSBARA PARAMETRAR'!$B$80*('ÄNDRINGSBARA PARAMETRAR'!$B$129+1)</f>
        <v>55.000000000000007</v>
      </c>
      <c r="E117" s="208">
        <f>'ÄNDRINGSBARA PARAMETRAR'!$B$80*('ÄNDRINGSBARA PARAMETRAR'!$B$129+1)</f>
        <v>55.000000000000007</v>
      </c>
      <c r="F117" s="208">
        <f>'ÄNDRINGSBARA PARAMETRAR'!$B$80*('ÄNDRINGSBARA PARAMETRAR'!$B$129+1)</f>
        <v>55.000000000000007</v>
      </c>
      <c r="G117" s="208">
        <f>'ÄNDRINGSBARA PARAMETRAR'!$B$80*('ÄNDRINGSBARA PARAMETRAR'!$B$129+1)</f>
        <v>55.000000000000007</v>
      </c>
      <c r="H117" s="208">
        <f>'ÄNDRINGSBARA PARAMETRAR'!$B$80*('ÄNDRINGSBARA PARAMETRAR'!$B$129+1)</f>
        <v>55.000000000000007</v>
      </c>
      <c r="I117" s="208">
        <f>'ÄNDRINGSBARA PARAMETRAR'!$B$80*('ÄNDRINGSBARA PARAMETRAR'!$B$129+1)</f>
        <v>55.000000000000007</v>
      </c>
      <c r="J117" s="208">
        <f>'ÄNDRINGSBARA PARAMETRAR'!$B$80*('ÄNDRINGSBARA PARAMETRAR'!$B$129+1)</f>
        <v>55.000000000000007</v>
      </c>
      <c r="K117" s="208">
        <f>'ÄNDRINGSBARA PARAMETRAR'!$B$80*('ÄNDRINGSBARA PARAMETRAR'!$B$129+1)</f>
        <v>55.000000000000007</v>
      </c>
      <c r="L117" s="208">
        <f>'ÄNDRINGSBARA PARAMETRAR'!$B$80*('ÄNDRINGSBARA PARAMETRAR'!$B$129+1)</f>
        <v>55.000000000000007</v>
      </c>
      <c r="M117" s="208">
        <f>'ÄNDRINGSBARA PARAMETRAR'!$B$80*('ÄNDRINGSBARA PARAMETRAR'!$B$129+1)</f>
        <v>55.000000000000007</v>
      </c>
      <c r="N117" s="55"/>
    </row>
    <row r="118" spans="1:15" x14ac:dyDescent="0.2">
      <c r="A118" s="7" t="str">
        <f>INDATA!A61</f>
        <v>KVV grot</v>
      </c>
      <c r="B118" s="208">
        <f>'ÄNDRINGSBARA PARAMETRAR'!$B$81*('ÄNDRINGSBARA PARAMETRAR'!$B$129+1)</f>
        <v>198.00000000000003</v>
      </c>
      <c r="C118" s="208">
        <f>'ÄNDRINGSBARA PARAMETRAR'!$B$81*('ÄNDRINGSBARA PARAMETRAR'!$B$129+1)</f>
        <v>198.00000000000003</v>
      </c>
      <c r="D118" s="208">
        <f>'ÄNDRINGSBARA PARAMETRAR'!$B$81*('ÄNDRINGSBARA PARAMETRAR'!$B$129+1)</f>
        <v>198.00000000000003</v>
      </c>
      <c r="E118" s="208">
        <f>'ÄNDRINGSBARA PARAMETRAR'!$B$81*('ÄNDRINGSBARA PARAMETRAR'!$B$129+1)</f>
        <v>198.00000000000003</v>
      </c>
      <c r="F118" s="208">
        <f>'ÄNDRINGSBARA PARAMETRAR'!$B$81*('ÄNDRINGSBARA PARAMETRAR'!$B$129+1)</f>
        <v>198.00000000000003</v>
      </c>
      <c r="G118" s="208">
        <f>'ÄNDRINGSBARA PARAMETRAR'!$B$81*('ÄNDRINGSBARA PARAMETRAR'!$B$129+1)</f>
        <v>198.00000000000003</v>
      </c>
      <c r="H118" s="208">
        <f>'ÄNDRINGSBARA PARAMETRAR'!$B$81*('ÄNDRINGSBARA PARAMETRAR'!$B$129+1)</f>
        <v>198.00000000000003</v>
      </c>
      <c r="I118" s="208">
        <f>'ÄNDRINGSBARA PARAMETRAR'!$B$81*('ÄNDRINGSBARA PARAMETRAR'!$B$129+1)</f>
        <v>198.00000000000003</v>
      </c>
      <c r="J118" s="208">
        <f>'ÄNDRINGSBARA PARAMETRAR'!$B$81*('ÄNDRINGSBARA PARAMETRAR'!$B$129+1)</f>
        <v>198.00000000000003</v>
      </c>
      <c r="K118" s="208">
        <f>'ÄNDRINGSBARA PARAMETRAR'!$B$81*('ÄNDRINGSBARA PARAMETRAR'!$B$129+1)</f>
        <v>198.00000000000003</v>
      </c>
      <c r="L118" s="208">
        <f>'ÄNDRINGSBARA PARAMETRAR'!$B$81*('ÄNDRINGSBARA PARAMETRAR'!$B$129+1)</f>
        <v>198.00000000000003</v>
      </c>
      <c r="M118" s="208">
        <f>'ÄNDRINGSBARA PARAMETRAR'!$B$81*('ÄNDRINGSBARA PARAMETRAR'!$B$129+1)</f>
        <v>198.00000000000003</v>
      </c>
      <c r="N118" s="187"/>
    </row>
    <row r="119" spans="1:15" x14ac:dyDescent="0.2">
      <c r="A119" s="7" t="str">
        <f>INDATA!A62</f>
        <v>Värmepump COP3</v>
      </c>
      <c r="B119" s="208">
        <f>'ÄNDRINGSBARA PARAMETRAR'!$B$82*('ÄNDRINGSBARA PARAMETRAR'!$B$129+1)</f>
        <v>165</v>
      </c>
      <c r="C119" s="208">
        <f>'ÄNDRINGSBARA PARAMETRAR'!$B$82*('ÄNDRINGSBARA PARAMETRAR'!$B$129+1)</f>
        <v>165</v>
      </c>
      <c r="D119" s="208">
        <f>'ÄNDRINGSBARA PARAMETRAR'!$B$82*('ÄNDRINGSBARA PARAMETRAR'!$B$129+1)</f>
        <v>165</v>
      </c>
      <c r="E119" s="208">
        <f>'ÄNDRINGSBARA PARAMETRAR'!$B$82*('ÄNDRINGSBARA PARAMETRAR'!$B$129+1)</f>
        <v>165</v>
      </c>
      <c r="F119" s="208">
        <f>'ÄNDRINGSBARA PARAMETRAR'!$B$82*('ÄNDRINGSBARA PARAMETRAR'!$B$129+1)</f>
        <v>165</v>
      </c>
      <c r="G119" s="208">
        <f>'ÄNDRINGSBARA PARAMETRAR'!$B$82*('ÄNDRINGSBARA PARAMETRAR'!$B$129+1)</f>
        <v>165</v>
      </c>
      <c r="H119" s="208">
        <f>'ÄNDRINGSBARA PARAMETRAR'!$B$82*('ÄNDRINGSBARA PARAMETRAR'!$B$129+1)</f>
        <v>165</v>
      </c>
      <c r="I119" s="208">
        <f>'ÄNDRINGSBARA PARAMETRAR'!$B$82*('ÄNDRINGSBARA PARAMETRAR'!$B$129+1)</f>
        <v>165</v>
      </c>
      <c r="J119" s="208">
        <f>'ÄNDRINGSBARA PARAMETRAR'!$B$82*('ÄNDRINGSBARA PARAMETRAR'!$B$129+1)</f>
        <v>165</v>
      </c>
      <c r="K119" s="208">
        <f>'ÄNDRINGSBARA PARAMETRAR'!$B$82*('ÄNDRINGSBARA PARAMETRAR'!$B$129+1)</f>
        <v>165</v>
      </c>
      <c r="L119" s="208">
        <f>'ÄNDRINGSBARA PARAMETRAR'!$B$82*('ÄNDRINGSBARA PARAMETRAR'!$B$129+1)</f>
        <v>165</v>
      </c>
      <c r="M119" s="208">
        <f>'ÄNDRINGSBARA PARAMETRAR'!$B$82*('ÄNDRINGSBARA PARAMETRAR'!$B$129+1)</f>
        <v>165</v>
      </c>
      <c r="N119" s="187"/>
    </row>
    <row r="120" spans="1:15" x14ac:dyDescent="0.2">
      <c r="A120" s="7" t="str">
        <f>INDATA!A63</f>
        <v>Spillvärme industri</v>
      </c>
      <c r="B120" s="208">
        <f>'ÄNDRINGSBARA PARAMETRAR'!$B$83*('ÄNDRINGSBARA PARAMETRAR'!$B$129+1)</f>
        <v>55.000000000000007</v>
      </c>
      <c r="C120" s="208">
        <f>'ÄNDRINGSBARA PARAMETRAR'!$B$83*('ÄNDRINGSBARA PARAMETRAR'!$B$129+1)</f>
        <v>55.000000000000007</v>
      </c>
      <c r="D120" s="208">
        <f>'ÄNDRINGSBARA PARAMETRAR'!$B$83*('ÄNDRINGSBARA PARAMETRAR'!$B$129+1)</f>
        <v>55.000000000000007</v>
      </c>
      <c r="E120" s="208">
        <f>'ÄNDRINGSBARA PARAMETRAR'!$B$83*('ÄNDRINGSBARA PARAMETRAR'!$B$129+1)</f>
        <v>55.000000000000007</v>
      </c>
      <c r="F120" s="208">
        <f>'ÄNDRINGSBARA PARAMETRAR'!$B$83*('ÄNDRINGSBARA PARAMETRAR'!$B$129+1)</f>
        <v>55.000000000000007</v>
      </c>
      <c r="G120" s="208">
        <f>'ÄNDRINGSBARA PARAMETRAR'!$B$83*('ÄNDRINGSBARA PARAMETRAR'!$B$129+1)</f>
        <v>55.000000000000007</v>
      </c>
      <c r="H120" s="208">
        <f>'ÄNDRINGSBARA PARAMETRAR'!$B$83*('ÄNDRINGSBARA PARAMETRAR'!$B$129+1)</f>
        <v>55.000000000000007</v>
      </c>
      <c r="I120" s="208">
        <f>'ÄNDRINGSBARA PARAMETRAR'!$B$83*('ÄNDRINGSBARA PARAMETRAR'!$B$129+1)</f>
        <v>55.000000000000007</v>
      </c>
      <c r="J120" s="208">
        <f>'ÄNDRINGSBARA PARAMETRAR'!$B$83*('ÄNDRINGSBARA PARAMETRAR'!$B$129+1)</f>
        <v>55.000000000000007</v>
      </c>
      <c r="K120" s="208">
        <f>'ÄNDRINGSBARA PARAMETRAR'!$B$83*('ÄNDRINGSBARA PARAMETRAR'!$B$129+1)</f>
        <v>55.000000000000007</v>
      </c>
      <c r="L120" s="208">
        <f>'ÄNDRINGSBARA PARAMETRAR'!$B$83*('ÄNDRINGSBARA PARAMETRAR'!$B$129+1)</f>
        <v>55.000000000000007</v>
      </c>
      <c r="M120" s="208">
        <f>'ÄNDRINGSBARA PARAMETRAR'!$B$83*('ÄNDRINGSBARA PARAMETRAR'!$B$129+1)</f>
        <v>55.000000000000007</v>
      </c>
      <c r="N120" s="187"/>
    </row>
    <row r="121" spans="1:15" x14ac:dyDescent="0.2">
      <c r="A121" s="7" t="str">
        <f>INDATA!A64</f>
        <v>HVC Gas</v>
      </c>
      <c r="B121" s="208">
        <f>'ÄNDRINGSBARA PARAMETRAR'!$B$84*('ÄNDRINGSBARA PARAMETRAR'!$B$129+1)</f>
        <v>330</v>
      </c>
      <c r="C121" s="208">
        <f>'ÄNDRINGSBARA PARAMETRAR'!$B$84*('ÄNDRINGSBARA PARAMETRAR'!$B$129+1)</f>
        <v>330</v>
      </c>
      <c r="D121" s="208">
        <f>'ÄNDRINGSBARA PARAMETRAR'!$B$84*('ÄNDRINGSBARA PARAMETRAR'!$B$129+1)</f>
        <v>330</v>
      </c>
      <c r="E121" s="208">
        <f>'ÄNDRINGSBARA PARAMETRAR'!$B$84*('ÄNDRINGSBARA PARAMETRAR'!$B$129+1)</f>
        <v>330</v>
      </c>
      <c r="F121" s="208">
        <f>'ÄNDRINGSBARA PARAMETRAR'!$B$84*('ÄNDRINGSBARA PARAMETRAR'!$B$129+1)</f>
        <v>330</v>
      </c>
      <c r="G121" s="208">
        <f>'ÄNDRINGSBARA PARAMETRAR'!$B$84*('ÄNDRINGSBARA PARAMETRAR'!$B$129+1)</f>
        <v>330</v>
      </c>
      <c r="H121" s="208">
        <f>'ÄNDRINGSBARA PARAMETRAR'!$B$84*('ÄNDRINGSBARA PARAMETRAR'!$B$129+1)</f>
        <v>330</v>
      </c>
      <c r="I121" s="208">
        <f>'ÄNDRINGSBARA PARAMETRAR'!$B$84*('ÄNDRINGSBARA PARAMETRAR'!$B$129+1)</f>
        <v>330</v>
      </c>
      <c r="J121" s="208">
        <f>'ÄNDRINGSBARA PARAMETRAR'!$B$84*('ÄNDRINGSBARA PARAMETRAR'!$B$129+1)</f>
        <v>330</v>
      </c>
      <c r="K121" s="208">
        <f>'ÄNDRINGSBARA PARAMETRAR'!$B$84*('ÄNDRINGSBARA PARAMETRAR'!$B$129+1)</f>
        <v>330</v>
      </c>
      <c r="L121" s="208">
        <f>'ÄNDRINGSBARA PARAMETRAR'!$B$84*('ÄNDRINGSBARA PARAMETRAR'!$B$129+1)</f>
        <v>330</v>
      </c>
      <c r="M121" s="208">
        <f>'ÄNDRINGSBARA PARAMETRAR'!$B$84*('ÄNDRINGSBARA PARAMETRAR'!$B$129+1)</f>
        <v>330</v>
      </c>
      <c r="N121" s="187"/>
    </row>
    <row r="122" spans="1:15" x14ac:dyDescent="0.2">
      <c r="A122" s="7" t="str">
        <f>INDATA!A65</f>
        <v>KVV Gas</v>
      </c>
      <c r="B122" s="208">
        <f>'ÄNDRINGSBARA PARAMETRAR'!$B$85*('ÄNDRINGSBARA PARAMETRAR'!$B$129+1)</f>
        <v>220.00000000000003</v>
      </c>
      <c r="C122" s="208">
        <f>'ÄNDRINGSBARA PARAMETRAR'!$B$85*('ÄNDRINGSBARA PARAMETRAR'!$B$129+1)</f>
        <v>220.00000000000003</v>
      </c>
      <c r="D122" s="208">
        <f>'ÄNDRINGSBARA PARAMETRAR'!$B$85*('ÄNDRINGSBARA PARAMETRAR'!$B$129+1)</f>
        <v>220.00000000000003</v>
      </c>
      <c r="E122" s="208">
        <f>'ÄNDRINGSBARA PARAMETRAR'!$B$85*('ÄNDRINGSBARA PARAMETRAR'!$B$129+1)</f>
        <v>220.00000000000003</v>
      </c>
      <c r="F122" s="208">
        <f>'ÄNDRINGSBARA PARAMETRAR'!$B$85*('ÄNDRINGSBARA PARAMETRAR'!$B$129+1)</f>
        <v>220.00000000000003</v>
      </c>
      <c r="G122" s="208">
        <f>'ÄNDRINGSBARA PARAMETRAR'!$B$85*('ÄNDRINGSBARA PARAMETRAR'!$B$129+1)</f>
        <v>220.00000000000003</v>
      </c>
      <c r="H122" s="208">
        <f>'ÄNDRINGSBARA PARAMETRAR'!$B$85*('ÄNDRINGSBARA PARAMETRAR'!$B$129+1)</f>
        <v>220.00000000000003</v>
      </c>
      <c r="I122" s="208">
        <f>'ÄNDRINGSBARA PARAMETRAR'!$B$85*('ÄNDRINGSBARA PARAMETRAR'!$B$129+1)</f>
        <v>220.00000000000003</v>
      </c>
      <c r="J122" s="208">
        <f>'ÄNDRINGSBARA PARAMETRAR'!$B$85*('ÄNDRINGSBARA PARAMETRAR'!$B$129+1)</f>
        <v>220.00000000000003</v>
      </c>
      <c r="K122" s="208">
        <f>'ÄNDRINGSBARA PARAMETRAR'!$B$85*('ÄNDRINGSBARA PARAMETRAR'!$B$129+1)</f>
        <v>220.00000000000003</v>
      </c>
      <c r="L122" s="208">
        <f>'ÄNDRINGSBARA PARAMETRAR'!$B$85*('ÄNDRINGSBARA PARAMETRAR'!$B$129+1)</f>
        <v>220.00000000000003</v>
      </c>
      <c r="M122" s="208">
        <f>'ÄNDRINGSBARA PARAMETRAR'!$B$85*('ÄNDRINGSBARA PARAMETRAR'!$B$129+1)</f>
        <v>220.00000000000003</v>
      </c>
      <c r="N122" s="27"/>
    </row>
    <row r="123" spans="1:15" x14ac:dyDescent="0.2">
      <c r="A123" s="7" t="str">
        <f>INDATA!A66</f>
        <v>Valfri 3</v>
      </c>
      <c r="B123" s="227">
        <f>'ÄNDRINGSBARA PARAMETRAR'!$B$86*('ÄNDRINGSBARA PARAMETRAR'!$B$129+1)</f>
        <v>0</v>
      </c>
      <c r="C123" s="227">
        <f>'ÄNDRINGSBARA PARAMETRAR'!$B$86*('ÄNDRINGSBARA PARAMETRAR'!$B$129+1)</f>
        <v>0</v>
      </c>
      <c r="D123" s="227">
        <f>'ÄNDRINGSBARA PARAMETRAR'!$B$86*('ÄNDRINGSBARA PARAMETRAR'!$B$129+1)</f>
        <v>0</v>
      </c>
      <c r="E123" s="227">
        <f>'ÄNDRINGSBARA PARAMETRAR'!$B$86*('ÄNDRINGSBARA PARAMETRAR'!$B$129+1)</f>
        <v>0</v>
      </c>
      <c r="F123" s="227">
        <f>'ÄNDRINGSBARA PARAMETRAR'!$B$86*('ÄNDRINGSBARA PARAMETRAR'!$B$129+1)</f>
        <v>0</v>
      </c>
      <c r="G123" s="227">
        <f>'ÄNDRINGSBARA PARAMETRAR'!$B$86*('ÄNDRINGSBARA PARAMETRAR'!$B$129+1)</f>
        <v>0</v>
      </c>
      <c r="H123" s="227">
        <f>'ÄNDRINGSBARA PARAMETRAR'!$B$86*('ÄNDRINGSBARA PARAMETRAR'!$B$129+1)</f>
        <v>0</v>
      </c>
      <c r="I123" s="227">
        <f>'ÄNDRINGSBARA PARAMETRAR'!$B$86*('ÄNDRINGSBARA PARAMETRAR'!$B$129+1)</f>
        <v>0</v>
      </c>
      <c r="J123" s="227">
        <f>'ÄNDRINGSBARA PARAMETRAR'!$B$86*('ÄNDRINGSBARA PARAMETRAR'!$B$129+1)</f>
        <v>0</v>
      </c>
      <c r="K123" s="227">
        <f>'ÄNDRINGSBARA PARAMETRAR'!$B$86*('ÄNDRINGSBARA PARAMETRAR'!$B$129+1)</f>
        <v>0</v>
      </c>
      <c r="L123" s="227">
        <f>'ÄNDRINGSBARA PARAMETRAR'!$B$86*('ÄNDRINGSBARA PARAMETRAR'!$B$129+1)</f>
        <v>0</v>
      </c>
      <c r="M123" s="227">
        <f>'ÄNDRINGSBARA PARAMETRAR'!$B$86*('ÄNDRINGSBARA PARAMETRAR'!$B$129+1)</f>
        <v>0</v>
      </c>
      <c r="N123" s="27"/>
    </row>
    <row r="126" spans="1:15" s="140" customFormat="1" x14ac:dyDescent="0.2">
      <c r="A126" s="149" t="s">
        <v>43</v>
      </c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</row>
    <row r="128" spans="1:15" x14ac:dyDescent="0.2">
      <c r="A128" s="201" t="s">
        <v>159</v>
      </c>
      <c r="B128" s="201"/>
      <c r="C128" s="199"/>
      <c r="D128" s="55"/>
      <c r="E128" s="68"/>
      <c r="F128" s="68"/>
      <c r="G128" s="68"/>
      <c r="H128" s="68"/>
      <c r="I128" s="68"/>
      <c r="J128" s="68"/>
      <c r="K128" s="176"/>
      <c r="L128" s="176"/>
      <c r="M128" s="55"/>
      <c r="N128" s="187"/>
      <c r="O128" s="68"/>
    </row>
    <row r="129" spans="1:15" x14ac:dyDescent="0.2">
      <c r="A129" s="25" t="s">
        <v>163</v>
      </c>
      <c r="B129" s="55"/>
      <c r="C129" s="68"/>
      <c r="D129" s="55"/>
      <c r="E129" s="68"/>
      <c r="F129" s="68"/>
      <c r="G129" s="68"/>
      <c r="H129" s="68"/>
      <c r="I129" s="68"/>
      <c r="J129" s="68"/>
      <c r="K129" s="176"/>
      <c r="L129" s="176"/>
      <c r="M129" s="55"/>
      <c r="N129" s="187"/>
      <c r="O129" s="68"/>
    </row>
    <row r="130" spans="1:15" ht="16" thickBot="1" x14ac:dyDescent="0.25">
      <c r="A130" s="55" t="s">
        <v>167</v>
      </c>
      <c r="B130" s="240">
        <f>INDATA!C45</f>
        <v>5200</v>
      </c>
      <c r="C130" s="55" t="s">
        <v>16</v>
      </c>
      <c r="D130" s="68"/>
      <c r="E130" s="68"/>
      <c r="F130" s="68"/>
      <c r="G130" s="68"/>
      <c r="H130" s="68"/>
      <c r="I130" s="68"/>
      <c r="J130" s="68"/>
      <c r="K130" s="176"/>
      <c r="L130" s="176"/>
      <c r="M130" s="55"/>
      <c r="N130" s="187"/>
      <c r="O130" s="68"/>
    </row>
    <row r="131" spans="1:15" ht="16" thickTop="1" x14ac:dyDescent="0.2">
      <c r="A131" s="68"/>
      <c r="B131" s="68"/>
      <c r="C131" s="68"/>
      <c r="D131" s="55"/>
      <c r="E131" s="55"/>
      <c r="F131" s="55"/>
      <c r="G131" s="55"/>
      <c r="H131" s="55"/>
      <c r="I131" s="55"/>
      <c r="J131" s="55"/>
      <c r="K131" s="176"/>
      <c r="L131" s="176"/>
      <c r="M131" s="55"/>
      <c r="N131" s="187"/>
      <c r="O131" s="68"/>
    </row>
    <row r="132" spans="1:15" x14ac:dyDescent="0.2">
      <c r="A132" s="179" t="s">
        <v>139</v>
      </c>
      <c r="B132" s="179" t="s">
        <v>156</v>
      </c>
      <c r="C132" s="179" t="s">
        <v>160</v>
      </c>
      <c r="D132" s="10"/>
      <c r="H132" s="179" t="s">
        <v>175</v>
      </c>
      <c r="K132" s="176"/>
      <c r="L132" s="176"/>
      <c r="M132" s="55"/>
      <c r="N132" s="187"/>
      <c r="O132" s="68"/>
    </row>
    <row r="133" spans="1:15" x14ac:dyDescent="0.2">
      <c r="A133" s="5" t="s">
        <v>226</v>
      </c>
      <c r="B133" s="191">
        <f>IF(INDATA!C44=1, 'ÄNDRINGSBARA PARAMETRAR'!B151*'INTERNA BERÄKNINGAR'!N18, IF(INDATA!C44=2, 'ÄNDRINGSBARA PARAMETRAR'!B178*'INTERNA BERÄKNINGAR'!N18, 'ÄNDRINGSBARA PARAMETRAR'!B205*'INTERNA BERÄKNINGAR'!N18))</f>
        <v>0</v>
      </c>
      <c r="C133" s="733" t="s">
        <v>161</v>
      </c>
      <c r="D133" s="733"/>
      <c r="E133" s="733"/>
      <c r="F133" s="733"/>
      <c r="H133" s="733" t="s">
        <v>234</v>
      </c>
      <c r="I133" s="733"/>
      <c r="J133" s="733"/>
      <c r="K133" s="176"/>
      <c r="L133" s="176"/>
      <c r="M133" s="55"/>
      <c r="N133" s="187"/>
      <c r="O133" s="68"/>
    </row>
    <row r="134" spans="1:15" x14ac:dyDescent="0.2">
      <c r="A134" s="5"/>
      <c r="B134" s="191"/>
      <c r="K134" s="176"/>
      <c r="L134" s="176"/>
      <c r="M134" s="55"/>
      <c r="N134" s="187"/>
      <c r="O134" s="68"/>
    </row>
    <row r="135" spans="1:15" x14ac:dyDescent="0.2">
      <c r="A135" s="5" t="s">
        <v>227</v>
      </c>
      <c r="B135" s="191"/>
      <c r="K135" s="176"/>
      <c r="L135" s="176"/>
      <c r="M135" s="55"/>
      <c r="N135" s="187"/>
      <c r="O135" s="68"/>
    </row>
    <row r="136" spans="1:15" x14ac:dyDescent="0.2">
      <c r="A136" s="175" t="s">
        <v>142</v>
      </c>
      <c r="B136" s="229">
        <f>IF(INDATA!C44=1, 'ÄNDRINGSBARA PARAMETRAR'!B154*'INTERNA BERÄKNINGAR'!N26, IF(INDATA!C44=2, 'ÄNDRINGSBARA PARAMETRAR'!B181*'INTERNA BERÄKNINGAR'!N26, 'ÄNDRINGSBARA PARAMETRAR'!B208*'INTERNA BERÄKNINGAR'!N26))</f>
        <v>2915729.8281872217</v>
      </c>
      <c r="C136" s="248" t="s">
        <v>162</v>
      </c>
      <c r="H136" s="733" t="s">
        <v>235</v>
      </c>
      <c r="I136" s="733"/>
      <c r="J136" s="733"/>
      <c r="K136" s="176"/>
      <c r="L136" s="176"/>
      <c r="M136" s="55"/>
      <c r="N136" s="187"/>
      <c r="O136" s="68"/>
    </row>
    <row r="137" spans="1:15" x14ac:dyDescent="0.2">
      <c r="A137" s="175" t="s">
        <v>143</v>
      </c>
      <c r="B137" s="229"/>
      <c r="K137" s="176"/>
      <c r="L137" s="176"/>
      <c r="M137" s="55"/>
      <c r="N137" s="187"/>
      <c r="O137" s="68"/>
    </row>
    <row r="138" spans="1:15" x14ac:dyDescent="0.2">
      <c r="B138" s="229"/>
      <c r="K138" s="176"/>
      <c r="L138" s="176"/>
      <c r="M138" s="55"/>
      <c r="N138" s="187"/>
      <c r="O138" s="68"/>
    </row>
    <row r="139" spans="1:15" x14ac:dyDescent="0.2">
      <c r="A139" s="5" t="s">
        <v>228</v>
      </c>
      <c r="B139" s="229"/>
      <c r="K139" s="176"/>
      <c r="L139" s="176"/>
      <c r="M139" s="55"/>
      <c r="N139" s="187"/>
      <c r="O139" s="68"/>
    </row>
    <row r="140" spans="1:15" x14ac:dyDescent="0.2">
      <c r="A140" s="175" t="s">
        <v>145</v>
      </c>
      <c r="B140" s="229">
        <f>IF(INDATA!C44=1, 'ÄNDRINGSBARA PARAMETRAR'!B158*'INTERNA BERÄKNINGAR'!N26, IF(INDATA!C44=2, 'ÄNDRINGSBARA PARAMETRAR'!B185*'INTERNA BERÄKNINGAR'!N26, 'ÄNDRINGSBARA PARAMETRAR'!B212*'INTERNA BERÄKNINGAR'!N26))</f>
        <v>14620999.48922638</v>
      </c>
      <c r="C140" s="248" t="s">
        <v>162</v>
      </c>
      <c r="H140" s="248" t="s">
        <v>235</v>
      </c>
      <c r="I140" s="248"/>
      <c r="J140" s="248"/>
      <c r="K140" s="176"/>
      <c r="L140" s="176"/>
      <c r="M140" s="55"/>
      <c r="N140" s="187"/>
      <c r="O140" s="68"/>
    </row>
    <row r="141" spans="1:15" x14ac:dyDescent="0.2">
      <c r="A141" s="175" t="s">
        <v>146</v>
      </c>
      <c r="B141" s="229"/>
      <c r="K141" s="176"/>
      <c r="L141" s="176"/>
      <c r="M141" s="55"/>
      <c r="N141" s="187"/>
      <c r="O141" s="68"/>
    </row>
    <row r="142" spans="1:15" x14ac:dyDescent="0.2">
      <c r="B142" s="229"/>
      <c r="K142" s="176"/>
      <c r="L142" s="176"/>
      <c r="M142" s="55"/>
      <c r="N142" s="187"/>
      <c r="O142" s="68"/>
    </row>
    <row r="143" spans="1:15" x14ac:dyDescent="0.2">
      <c r="A143" s="5" t="s">
        <v>229</v>
      </c>
      <c r="B143" s="229"/>
      <c r="K143" s="176"/>
      <c r="L143" s="176"/>
      <c r="M143" s="55"/>
      <c r="N143" s="187"/>
      <c r="O143" s="68"/>
    </row>
    <row r="144" spans="1:15" x14ac:dyDescent="0.2">
      <c r="A144" s="175" t="s">
        <v>148</v>
      </c>
      <c r="B144" s="229">
        <f>IF(INDATA!C44=1, 'ÄNDRINGSBARA PARAMETRAR'!B162*'INTERNA BERÄKNINGAR'!N17, IF(INDATA!C44=2, 'ÄNDRINGSBARA PARAMETRAR'!B189*'INTERNA BERÄKNINGAR'!N17, 'ÄNDRINGSBARA PARAMETRAR'!B216*'INTERNA BERÄKNINGAR'!N17))</f>
        <v>0</v>
      </c>
      <c r="C144" s="733" t="s">
        <v>161</v>
      </c>
      <c r="D144" s="733"/>
      <c r="E144" s="733"/>
      <c r="F144" s="733"/>
      <c r="H144" s="733" t="s">
        <v>200</v>
      </c>
      <c r="I144" s="733"/>
      <c r="J144" s="248"/>
      <c r="K144" s="176"/>
      <c r="L144" s="176"/>
      <c r="M144" s="55"/>
      <c r="N144" s="187"/>
      <c r="O144" s="55"/>
    </row>
    <row r="145" spans="1:15" x14ac:dyDescent="0.2">
      <c r="A145" s="175" t="s">
        <v>149</v>
      </c>
      <c r="B145" s="229"/>
      <c r="K145" s="176"/>
      <c r="L145" s="176"/>
      <c r="M145" s="55"/>
      <c r="N145" s="187"/>
      <c r="O145" s="27"/>
    </row>
    <row r="146" spans="1:15" x14ac:dyDescent="0.2">
      <c r="A146" s="175" t="s">
        <v>150</v>
      </c>
      <c r="B146" s="229"/>
      <c r="K146" s="176"/>
      <c r="L146" s="176"/>
      <c r="M146" s="55"/>
      <c r="N146" s="187"/>
      <c r="O146" s="27"/>
    </row>
    <row r="147" spans="1:15" x14ac:dyDescent="0.2">
      <c r="A147" s="175"/>
      <c r="B147" s="229"/>
      <c r="K147" s="176"/>
      <c r="L147" s="176"/>
      <c r="M147" s="55"/>
      <c r="N147" s="187"/>
      <c r="O147" s="27"/>
    </row>
    <row r="148" spans="1:15" x14ac:dyDescent="0.2">
      <c r="A148" s="5" t="s">
        <v>230</v>
      </c>
      <c r="B148" s="229"/>
      <c r="K148" s="176"/>
      <c r="L148" s="176"/>
      <c r="M148" s="55"/>
      <c r="N148" s="187"/>
      <c r="O148" s="27"/>
    </row>
    <row r="149" spans="1:15" x14ac:dyDescent="0.2">
      <c r="A149" t="s">
        <v>152</v>
      </c>
      <c r="B149" s="229">
        <f>IF(INDATA!C44=1, 'ÄNDRINGSBARA PARAMETRAR'!B167*'INTERNA BERÄKNINGAR'!N26, IF(INDATA!C44=2, 'ÄNDRINGSBARA PARAMETRAR'!B194*'INTERNA BERÄKNINGAR'!N26, 'ÄNDRINGSBARA PARAMETRAR'!B221*'INTERNA BERÄKNINGAR'!N26))</f>
        <v>2332583.8625497776</v>
      </c>
      <c r="C149" s="737" t="s">
        <v>161</v>
      </c>
      <c r="D149" s="738"/>
      <c r="E149" s="738"/>
      <c r="F149" s="739"/>
      <c r="H149" s="733" t="s">
        <v>233</v>
      </c>
      <c r="I149" s="733"/>
      <c r="J149" s="248"/>
      <c r="L149" s="27"/>
      <c r="M149" s="27"/>
      <c r="N149" s="27"/>
      <c r="O149" s="27"/>
    </row>
    <row r="150" spans="1:15" x14ac:dyDescent="0.2">
      <c r="A150" t="s">
        <v>153</v>
      </c>
      <c r="B150" s="191"/>
    </row>
    <row r="151" spans="1:15" x14ac:dyDescent="0.2">
      <c r="A151" t="s">
        <v>154</v>
      </c>
      <c r="B151" s="191"/>
    </row>
    <row r="152" spans="1:15" x14ac:dyDescent="0.2">
      <c r="B152" s="191"/>
    </row>
    <row r="153" spans="1:15" x14ac:dyDescent="0.2">
      <c r="A153" s="5" t="s">
        <v>206</v>
      </c>
      <c r="B153" s="191">
        <f>IF(INDATA!C44=1, 'ÄNDRINGSBARA PARAMETRAR'!B171*'INTERNA BERÄKNINGAR'!N17, IF(INDATA!C44=2, 'ÄNDRINGSBARA PARAMETRAR'!B198*'INTERNA BERÄKNINGAR'!N17, 'ÄNDRINGSBARA PARAMETRAR'!B225*'INTERNA BERÄKNINGAR'!N17))</f>
        <v>0</v>
      </c>
    </row>
    <row r="154" spans="1:15" x14ac:dyDescent="0.2">
      <c r="B154" s="191"/>
    </row>
    <row r="155" spans="1:15" x14ac:dyDescent="0.2">
      <c r="A155" s="5" t="s">
        <v>174</v>
      </c>
      <c r="B155" s="192">
        <f>B133+B136+B140+B144+B149</f>
        <v>19869313.17996338</v>
      </c>
      <c r="K155" s="27"/>
      <c r="L155" s="27"/>
      <c r="M155" s="27"/>
      <c r="N155" s="27"/>
      <c r="O155" s="27"/>
    </row>
    <row r="158" spans="1:15" x14ac:dyDescent="0.2">
      <c r="A158" s="179" t="s">
        <v>168</v>
      </c>
      <c r="B158" s="10"/>
      <c r="H158" s="5" t="s">
        <v>175</v>
      </c>
    </row>
    <row r="159" spans="1:15" x14ac:dyDescent="0.2">
      <c r="A159" s="180" t="s">
        <v>231</v>
      </c>
      <c r="B159" s="180" t="s">
        <v>156</v>
      </c>
    </row>
    <row r="160" spans="1:15" x14ac:dyDescent="0.2">
      <c r="A160" t="s">
        <v>170</v>
      </c>
      <c r="B160" s="192">
        <f>'ÄNDRINGSBARA PARAMETRAR'!B142*N23</f>
        <v>119750.99620981583</v>
      </c>
      <c r="C160" s="55"/>
      <c r="D160" s="27"/>
      <c r="E160" s="27"/>
      <c r="F160" s="27"/>
      <c r="G160" s="27"/>
      <c r="H160" s="733" t="s">
        <v>221</v>
      </c>
      <c r="I160" s="733"/>
      <c r="J160" s="733"/>
    </row>
    <row r="161" spans="1:27" x14ac:dyDescent="0.2">
      <c r="A161" t="s">
        <v>169</v>
      </c>
      <c r="B161" s="192">
        <f>'ÄNDRINGSBARA PARAMETRAR'!B143*N23</f>
        <v>199584.99368302641</v>
      </c>
      <c r="C161" s="55"/>
      <c r="D161" s="181"/>
      <c r="E161" s="181"/>
      <c r="F161" s="27"/>
      <c r="G161" s="27"/>
    </row>
    <row r="162" spans="1:27" x14ac:dyDescent="0.2">
      <c r="A162" s="180" t="s">
        <v>201</v>
      </c>
      <c r="B162" s="192">
        <f>B160+B161</f>
        <v>319335.98989284225</v>
      </c>
      <c r="C162" s="27"/>
      <c r="D162" s="27"/>
      <c r="E162" s="178"/>
      <c r="F162" s="182"/>
      <c r="G162" s="27"/>
    </row>
    <row r="163" spans="1:27" x14ac:dyDescent="0.2">
      <c r="A163" s="180"/>
      <c r="C163" s="27"/>
      <c r="D163" s="27"/>
      <c r="E163" s="178"/>
      <c r="F163" s="182"/>
      <c r="G163" s="27"/>
    </row>
    <row r="164" spans="1:27" x14ac:dyDescent="0.2">
      <c r="A164" s="180"/>
      <c r="C164" s="27"/>
      <c r="D164" s="27"/>
      <c r="E164" s="178"/>
      <c r="F164" s="182"/>
      <c r="G164" s="27"/>
    </row>
    <row r="165" spans="1:27" x14ac:dyDescent="0.2">
      <c r="A165" s="180" t="s">
        <v>220</v>
      </c>
      <c r="B165" s="192">
        <f>B155+B162</f>
        <v>20188649.16985622</v>
      </c>
      <c r="C165" s="27"/>
      <c r="D165" s="27"/>
      <c r="E165" s="178"/>
      <c r="F165" s="182"/>
      <c r="G165" s="27"/>
    </row>
    <row r="166" spans="1:27" x14ac:dyDescent="0.2">
      <c r="A166" s="180"/>
      <c r="C166" s="27"/>
      <c r="D166" s="27"/>
      <c r="E166" s="178"/>
      <c r="F166" s="182"/>
      <c r="G166" s="27"/>
    </row>
    <row r="167" spans="1:27" x14ac:dyDescent="0.2">
      <c r="A167" s="30" t="s">
        <v>248</v>
      </c>
      <c r="B167" s="16" t="s">
        <v>249</v>
      </c>
      <c r="C167" s="31" t="s">
        <v>250</v>
      </c>
      <c r="D167" s="31" t="s">
        <v>251</v>
      </c>
      <c r="E167" s="31" t="s">
        <v>252</v>
      </c>
      <c r="F167" s="31" t="s">
        <v>253</v>
      </c>
      <c r="G167" s="31" t="s">
        <v>254</v>
      </c>
      <c r="H167" s="31" t="s">
        <v>255</v>
      </c>
      <c r="I167" s="31" t="s">
        <v>256</v>
      </c>
      <c r="J167" s="31" t="s">
        <v>257</v>
      </c>
      <c r="K167" s="31" t="s">
        <v>258</v>
      </c>
      <c r="L167" s="31" t="s">
        <v>259</v>
      </c>
      <c r="M167" s="267" t="s">
        <v>260</v>
      </c>
      <c r="N167" s="184" t="s">
        <v>261</v>
      </c>
    </row>
    <row r="168" spans="1:27" x14ac:dyDescent="0.2">
      <c r="A168" s="265" t="s">
        <v>211</v>
      </c>
      <c r="B168" s="192">
        <f t="shared" ref="B168:M168" si="72">B191*B32</f>
        <v>0</v>
      </c>
      <c r="C168" s="192">
        <f t="shared" si="72"/>
        <v>0</v>
      </c>
      <c r="D168" s="192">
        <f t="shared" si="72"/>
        <v>0</v>
      </c>
      <c r="E168" s="192">
        <f t="shared" si="72"/>
        <v>0</v>
      </c>
      <c r="F168" s="192">
        <f t="shared" si="72"/>
        <v>568112.20149350888</v>
      </c>
      <c r="G168" s="192">
        <f t="shared" si="72"/>
        <v>315507.95749576658</v>
      </c>
      <c r="H168" s="192">
        <f t="shared" si="72"/>
        <v>255106.89649633106</v>
      </c>
      <c r="I168" s="192">
        <f t="shared" si="72"/>
        <v>222205.83549689551</v>
      </c>
      <c r="J168" s="192">
        <f t="shared" si="72"/>
        <v>429189.76119480707</v>
      </c>
      <c r="K168" s="192">
        <f t="shared" si="72"/>
        <v>524568.03173359914</v>
      </c>
      <c r="L168" s="192">
        <f t="shared" si="72"/>
        <v>0</v>
      </c>
      <c r="M168" s="192">
        <f t="shared" si="72"/>
        <v>0</v>
      </c>
      <c r="N168" s="192">
        <f>SUM(B168:M168)</f>
        <v>2314690.6839109082</v>
      </c>
      <c r="O168" s="296"/>
    </row>
    <row r="169" spans="1:27" x14ac:dyDescent="0.2">
      <c r="A169" s="265" t="s">
        <v>212</v>
      </c>
      <c r="B169" s="192">
        <f t="shared" ref="B169:M169" si="73">B33*B191</f>
        <v>0</v>
      </c>
      <c r="C169" s="192">
        <f t="shared" si="73"/>
        <v>0</v>
      </c>
      <c r="D169" s="192">
        <f t="shared" si="73"/>
        <v>0</v>
      </c>
      <c r="E169" s="192">
        <f t="shared" si="73"/>
        <v>408898.31291451346</v>
      </c>
      <c r="F169" s="192">
        <f t="shared" si="73"/>
        <v>422978.54104545619</v>
      </c>
      <c r="G169" s="192">
        <f t="shared" si="73"/>
        <v>183903.71349802439</v>
      </c>
      <c r="H169" s="192">
        <f t="shared" si="73"/>
        <v>167403.71349802442</v>
      </c>
      <c r="I169" s="192">
        <f t="shared" si="73"/>
        <v>134502.65249858887</v>
      </c>
      <c r="J169" s="192">
        <f t="shared" si="73"/>
        <v>233456.10074675438</v>
      </c>
      <c r="K169" s="192">
        <f t="shared" si="73"/>
        <v>0</v>
      </c>
      <c r="L169" s="192">
        <f t="shared" si="73"/>
        <v>0</v>
      </c>
      <c r="M169" s="192">
        <f t="shared" si="73"/>
        <v>0</v>
      </c>
      <c r="N169" s="192">
        <f>SUM(B169:M169)</f>
        <v>1551143.0342013617</v>
      </c>
    </row>
    <row r="170" spans="1:27" x14ac:dyDescent="0.2">
      <c r="A170" s="266" t="s">
        <v>210</v>
      </c>
      <c r="B170" s="192">
        <f>SUM(B168:B169)</f>
        <v>0</v>
      </c>
      <c r="C170" s="192">
        <f>SUM(C168:C169)</f>
        <v>0</v>
      </c>
      <c r="D170" s="192">
        <f t="shared" ref="D170:M170" si="74">SUM(D168:D169)</f>
        <v>0</v>
      </c>
      <c r="E170" s="192">
        <f t="shared" si="74"/>
        <v>408898.31291451346</v>
      </c>
      <c r="F170" s="192">
        <f t="shared" si="74"/>
        <v>991090.74253896507</v>
      </c>
      <c r="G170" s="192">
        <f t="shared" si="74"/>
        <v>499411.67099379096</v>
      </c>
      <c r="H170" s="192">
        <f t="shared" si="74"/>
        <v>422510.60999435547</v>
      </c>
      <c r="I170" s="192">
        <f t="shared" si="74"/>
        <v>356708.48799548438</v>
      </c>
      <c r="J170" s="192">
        <f t="shared" si="74"/>
        <v>662645.86194156145</v>
      </c>
      <c r="K170" s="192">
        <f t="shared" si="74"/>
        <v>524568.03173359914</v>
      </c>
      <c r="L170" s="192">
        <f t="shared" si="74"/>
        <v>0</v>
      </c>
      <c r="M170" s="192">
        <f t="shared" si="74"/>
        <v>0</v>
      </c>
      <c r="N170" s="192">
        <f>SUM(N168:N169)</f>
        <v>3865833.7181122699</v>
      </c>
    </row>
    <row r="174" spans="1:27" x14ac:dyDescent="0.2">
      <c r="A174" s="5" t="s">
        <v>225</v>
      </c>
    </row>
    <row r="175" spans="1:27" s="55" customFormat="1" x14ac:dyDescent="0.2">
      <c r="A175" s="30" t="s">
        <v>216</v>
      </c>
      <c r="B175" s="194" t="s">
        <v>20</v>
      </c>
      <c r="C175" s="195" t="s">
        <v>21</v>
      </c>
      <c r="D175" s="195" t="s">
        <v>22</v>
      </c>
      <c r="E175" s="195" t="s">
        <v>23</v>
      </c>
      <c r="F175" s="195" t="s">
        <v>24</v>
      </c>
      <c r="G175" s="196" t="s">
        <v>25</v>
      </c>
      <c r="H175" s="196" t="s">
        <v>26</v>
      </c>
      <c r="I175" s="196" t="s">
        <v>27</v>
      </c>
      <c r="J175" s="196" t="s">
        <v>28</v>
      </c>
      <c r="K175" s="196" t="s">
        <v>29</v>
      </c>
      <c r="L175" s="196" t="s">
        <v>30</v>
      </c>
      <c r="M175" s="193" t="s">
        <v>31</v>
      </c>
      <c r="N175" s="280"/>
      <c r="O175" s="280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  <c r="AA175" s="176"/>
    </row>
    <row r="176" spans="1:27" s="55" customFormat="1" ht="16" thickBot="1" x14ac:dyDescent="0.25">
      <c r="A176" s="27" t="s">
        <v>213</v>
      </c>
      <c r="B176" s="240">
        <f>'ÄNDRINGSBARA PARAMETRAR'!B119</f>
        <v>550</v>
      </c>
      <c r="C176" s="240">
        <f>'ÄNDRINGSBARA PARAMETRAR'!C119</f>
        <v>550</v>
      </c>
      <c r="D176" s="240">
        <f>'ÄNDRINGSBARA PARAMETRAR'!D119</f>
        <v>450</v>
      </c>
      <c r="E176" s="240">
        <f>'ÄNDRINGSBARA PARAMETRAR'!E119</f>
        <v>450</v>
      </c>
      <c r="F176" s="240">
        <f>'ÄNDRINGSBARA PARAMETRAR'!F119</f>
        <v>250</v>
      </c>
      <c r="G176" s="240">
        <f>'ÄNDRINGSBARA PARAMETRAR'!G119</f>
        <v>250</v>
      </c>
      <c r="H176" s="240">
        <f>'ÄNDRINGSBARA PARAMETRAR'!H119</f>
        <v>250</v>
      </c>
      <c r="I176" s="240">
        <f>'ÄNDRINGSBARA PARAMETRAR'!I119</f>
        <v>250</v>
      </c>
      <c r="J176" s="240">
        <f>'ÄNDRINGSBARA PARAMETRAR'!J119</f>
        <v>250</v>
      </c>
      <c r="K176" s="240">
        <f>'ÄNDRINGSBARA PARAMETRAR'!K119</f>
        <v>450</v>
      </c>
      <c r="L176" s="240">
        <f>'ÄNDRINGSBARA PARAMETRAR'!L119</f>
        <v>450</v>
      </c>
      <c r="M176" s="240">
        <f>'ÄNDRINGSBARA PARAMETRAR'!M119</f>
        <v>550</v>
      </c>
      <c r="N176" s="280"/>
      <c r="O176" s="280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  <c r="AA176" s="176"/>
    </row>
    <row r="177" spans="1:27" s="55" customFormat="1" ht="16" thickTop="1" x14ac:dyDescent="0.2">
      <c r="A177" s="27"/>
      <c r="B177" s="280"/>
      <c r="C177" s="280"/>
      <c r="D177" s="280"/>
      <c r="E177" s="280"/>
      <c r="F177" s="280"/>
      <c r="G177" s="280"/>
      <c r="H177" s="280"/>
      <c r="I177" s="280"/>
      <c r="J177" s="280"/>
      <c r="K177" s="280"/>
      <c r="L177" s="280"/>
      <c r="M177" s="280"/>
      <c r="N177" s="280"/>
      <c r="O177" s="280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  <c r="AA177" s="176"/>
    </row>
    <row r="178" spans="1:27" s="55" customFormat="1" x14ac:dyDescent="0.2">
      <c r="A178" s="197" t="s">
        <v>295</v>
      </c>
      <c r="B178" s="22" t="s">
        <v>266</v>
      </c>
      <c r="C178" s="280"/>
      <c r="D178" s="280"/>
      <c r="E178" s="280"/>
      <c r="F178" s="280"/>
      <c r="G178" s="280"/>
      <c r="H178" s="280"/>
      <c r="I178" s="280"/>
      <c r="J178" s="280"/>
      <c r="K178" s="280"/>
      <c r="L178" s="280"/>
      <c r="M178" s="280"/>
      <c r="N178" s="280"/>
      <c r="O178" s="280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  <c r="AA178" s="176"/>
    </row>
    <row r="179" spans="1:27" s="55" customFormat="1" ht="16" thickBot="1" x14ac:dyDescent="0.25">
      <c r="A179" s="280" t="s">
        <v>292</v>
      </c>
      <c r="B179" s="240">
        <f>'ÄNDRINGSBARA PARAMETRAR'!B122</f>
        <v>750</v>
      </c>
      <c r="C179" s="280"/>
      <c r="D179" s="280"/>
      <c r="E179" s="280"/>
      <c r="F179" s="280"/>
      <c r="G179" s="280"/>
      <c r="H179" s="280"/>
      <c r="I179" s="280"/>
      <c r="J179" s="280"/>
      <c r="K179" s="280"/>
      <c r="L179" s="280"/>
      <c r="M179" s="280"/>
      <c r="N179" s="280"/>
      <c r="O179" s="280"/>
      <c r="P179" s="280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  <c r="AA179" s="176"/>
    </row>
    <row r="180" spans="1:27" s="55" customFormat="1" ht="17" thickTop="1" thickBot="1" x14ac:dyDescent="0.25">
      <c r="A180" s="55" t="s">
        <v>164</v>
      </c>
      <c r="B180" s="240">
        <f>'ÄNDRINGSBARA PARAMETRAR'!B123</f>
        <v>50000</v>
      </c>
      <c r="C180" s="280"/>
      <c r="D180" s="280"/>
      <c r="E180" s="280"/>
      <c r="F180" s="280"/>
      <c r="G180" s="280"/>
      <c r="H180" s="280"/>
      <c r="I180" s="280"/>
      <c r="J180" s="280"/>
      <c r="K180" s="280"/>
      <c r="L180" s="280"/>
      <c r="M180" s="280"/>
      <c r="N180" s="280"/>
      <c r="O180" s="280"/>
      <c r="P180" s="280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  <c r="AA180" s="176"/>
    </row>
    <row r="181" spans="1:27" s="55" customFormat="1" ht="17" thickTop="1" thickBot="1" x14ac:dyDescent="0.25">
      <c r="A181" s="55" t="s">
        <v>268</v>
      </c>
      <c r="B181" s="240">
        <f>'ÄNDRINGSBARA PARAMETRAR'!B124</f>
        <v>2000</v>
      </c>
      <c r="C181" s="280"/>
      <c r="D181" s="280"/>
      <c r="E181" s="280"/>
      <c r="F181" s="280"/>
      <c r="G181" s="280"/>
      <c r="H181" s="280"/>
      <c r="I181" s="280"/>
      <c r="J181" s="280"/>
      <c r="K181" s="280"/>
      <c r="L181" s="280"/>
      <c r="M181" s="280"/>
      <c r="N181" s="280"/>
      <c r="O181" s="280"/>
      <c r="P181" s="280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  <c r="AA181" s="176"/>
    </row>
    <row r="182" spans="1:27" s="55" customFormat="1" ht="16" thickTop="1" x14ac:dyDescent="0.2">
      <c r="B182" s="280"/>
      <c r="C182" s="280"/>
      <c r="D182" s="280"/>
      <c r="E182" s="280"/>
      <c r="F182" s="280"/>
      <c r="G182" s="280"/>
      <c r="H182" s="280"/>
      <c r="I182" s="280"/>
      <c r="J182" s="280"/>
      <c r="K182" s="280"/>
      <c r="L182" s="280"/>
      <c r="M182" s="280"/>
      <c r="N182" s="280"/>
      <c r="O182" s="280"/>
      <c r="P182" s="280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  <c r="AA182" s="176"/>
    </row>
    <row r="183" spans="1:27" s="55" customFormat="1" x14ac:dyDescent="0.2">
      <c r="A183" s="55" t="s">
        <v>273</v>
      </c>
      <c r="B183" s="192">
        <f>1000*N18/B181</f>
        <v>2600</v>
      </c>
      <c r="C183" s="280"/>
      <c r="D183" s="280"/>
      <c r="E183" s="280"/>
      <c r="F183" s="280"/>
      <c r="G183" s="280"/>
      <c r="H183" s="280"/>
      <c r="I183" s="280"/>
      <c r="J183" s="280"/>
      <c r="K183" s="280"/>
      <c r="L183" s="280"/>
      <c r="M183" s="280"/>
      <c r="N183" s="280"/>
      <c r="O183" s="280"/>
      <c r="P183" s="280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  <c r="AA183" s="176"/>
    </row>
    <row r="184" spans="1:27" s="55" customFormat="1" x14ac:dyDescent="0.2">
      <c r="A184" s="55" t="s">
        <v>271</v>
      </c>
      <c r="B184" s="192">
        <f>B179*B183/N18</f>
        <v>375</v>
      </c>
      <c r="D184" s="280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  <c r="AA184" s="176"/>
    </row>
    <row r="185" spans="1:27" s="55" customFormat="1" x14ac:dyDescent="0.2">
      <c r="A185" s="55" t="s">
        <v>272</v>
      </c>
      <c r="B185" s="192">
        <f>B180/N18</f>
        <v>9.615384615384615</v>
      </c>
      <c r="D185" s="280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  <c r="AA185" s="176"/>
    </row>
    <row r="186" spans="1:27" s="55" customFormat="1" x14ac:dyDescent="0.2">
      <c r="O186" s="280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  <c r="AA186" s="176"/>
    </row>
    <row r="187" spans="1:27" s="55" customFormat="1" x14ac:dyDescent="0.2">
      <c r="A187" s="197" t="s">
        <v>274</v>
      </c>
      <c r="B187" s="194" t="s">
        <v>20</v>
      </c>
      <c r="C187" s="195" t="s">
        <v>21</v>
      </c>
      <c r="D187" s="195" t="s">
        <v>22</v>
      </c>
      <c r="E187" s="195" t="s">
        <v>23</v>
      </c>
      <c r="F187" s="195" t="s">
        <v>24</v>
      </c>
      <c r="G187" s="196" t="s">
        <v>25</v>
      </c>
      <c r="H187" s="196" t="s">
        <v>26</v>
      </c>
      <c r="I187" s="196" t="s">
        <v>27</v>
      </c>
      <c r="J187" s="196" t="s">
        <v>28</v>
      </c>
      <c r="K187" s="196" t="s">
        <v>29</v>
      </c>
      <c r="L187" s="196" t="s">
        <v>30</v>
      </c>
      <c r="M187" s="193" t="s">
        <v>31</v>
      </c>
      <c r="O187" s="280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  <c r="AA187" s="176"/>
    </row>
    <row r="188" spans="1:27" s="55" customFormat="1" x14ac:dyDescent="0.2">
      <c r="A188" s="55" t="s">
        <v>270</v>
      </c>
      <c r="B188" s="192">
        <f>B176+$B$184+$B$185</f>
        <v>934.61538461538464</v>
      </c>
      <c r="C188" s="192">
        <f t="shared" ref="C188:M188" si="75">C176+$B$184+$B$185</f>
        <v>934.61538461538464</v>
      </c>
      <c r="D188" s="192">
        <f t="shared" si="75"/>
        <v>834.61538461538464</v>
      </c>
      <c r="E188" s="192">
        <f t="shared" si="75"/>
        <v>834.61538461538464</v>
      </c>
      <c r="F188" s="192">
        <f t="shared" si="75"/>
        <v>634.61538461538464</v>
      </c>
      <c r="G188" s="192">
        <f t="shared" si="75"/>
        <v>634.61538461538464</v>
      </c>
      <c r="H188" s="192">
        <f t="shared" si="75"/>
        <v>634.61538461538464</v>
      </c>
      <c r="I188" s="192">
        <f t="shared" si="75"/>
        <v>634.61538461538464</v>
      </c>
      <c r="J188" s="192">
        <f t="shared" si="75"/>
        <v>634.61538461538464</v>
      </c>
      <c r="K188" s="192">
        <f t="shared" si="75"/>
        <v>834.61538461538464</v>
      </c>
      <c r="L188" s="192">
        <f t="shared" si="75"/>
        <v>834.61538461538464</v>
      </c>
      <c r="M188" s="192">
        <f t="shared" si="75"/>
        <v>934.61538461538464</v>
      </c>
      <c r="O188" s="280"/>
      <c r="P188" s="176"/>
      <c r="Q188" s="187"/>
      <c r="R188" s="188"/>
      <c r="S188" s="186"/>
      <c r="T188" s="176"/>
      <c r="U188" s="176"/>
      <c r="V188" s="176"/>
      <c r="W188" s="176"/>
      <c r="X188" s="176"/>
      <c r="Y188" s="176"/>
      <c r="Z188" s="176"/>
      <c r="AA188" s="176"/>
    </row>
    <row r="189" spans="1:27" s="55" customFormat="1" x14ac:dyDescent="0.2">
      <c r="O189" s="280"/>
      <c r="P189" s="176"/>
      <c r="Q189" s="187"/>
      <c r="R189" s="188"/>
      <c r="S189" s="186"/>
      <c r="T189" s="176"/>
      <c r="U189" s="176"/>
      <c r="V189" s="176"/>
      <c r="W189" s="176"/>
      <c r="X189" s="176"/>
      <c r="Y189" s="176"/>
      <c r="Z189" s="176"/>
      <c r="AA189" s="176"/>
    </row>
    <row r="190" spans="1:27" s="55" customFormat="1" x14ac:dyDescent="0.2">
      <c r="A190" s="53" t="s">
        <v>275</v>
      </c>
      <c r="B190" s="194" t="s">
        <v>20</v>
      </c>
      <c r="C190" s="195" t="s">
        <v>21</v>
      </c>
      <c r="D190" s="195" t="s">
        <v>22</v>
      </c>
      <c r="E190" s="195" t="s">
        <v>23</v>
      </c>
      <c r="F190" s="195" t="s">
        <v>24</v>
      </c>
      <c r="G190" s="196" t="s">
        <v>25</v>
      </c>
      <c r="H190" s="196" t="s">
        <v>26</v>
      </c>
      <c r="I190" s="196" t="s">
        <v>27</v>
      </c>
      <c r="J190" s="196" t="s">
        <v>28</v>
      </c>
      <c r="K190" s="196" t="s">
        <v>29</v>
      </c>
      <c r="L190" s="196" t="s">
        <v>30</v>
      </c>
      <c r="M190" s="193" t="s">
        <v>31</v>
      </c>
      <c r="N190" s="185" t="s">
        <v>53</v>
      </c>
      <c r="O190" s="280"/>
      <c r="P190" s="176"/>
      <c r="Q190" s="189"/>
      <c r="R190" s="190"/>
      <c r="S190" s="186"/>
      <c r="T190" s="176"/>
      <c r="U190" s="176"/>
      <c r="V190" s="176"/>
      <c r="W190" s="176"/>
      <c r="X190" s="176"/>
      <c r="Y190" s="176"/>
      <c r="Z190" s="176"/>
      <c r="AA190" s="176"/>
    </row>
    <row r="191" spans="1:27" s="55" customFormat="1" x14ac:dyDescent="0.2">
      <c r="A191" s="27" t="s">
        <v>214</v>
      </c>
      <c r="B191" s="191">
        <f t="shared" ref="B191:M191" si="76">(P87*B114+P88*B115+P89*B116+P90*B117+P91*B118+P92*B119+P93*B120+P94*B121+P95*B122+P96*B123)/P97</f>
        <v>246.4</v>
      </c>
      <c r="C191" s="191">
        <f t="shared" si="76"/>
        <v>246.40000000000003</v>
      </c>
      <c r="D191" s="191">
        <f t="shared" si="76"/>
        <v>198.00000000000006</v>
      </c>
      <c r="E191" s="191">
        <f t="shared" si="76"/>
        <v>178.2</v>
      </c>
      <c r="F191" s="191">
        <f t="shared" si="76"/>
        <v>126.50000000000003</v>
      </c>
      <c r="G191" s="191">
        <f t="shared" si="76"/>
        <v>55</v>
      </c>
      <c r="H191" s="191">
        <f t="shared" si="76"/>
        <v>55.000000000000007</v>
      </c>
      <c r="I191" s="191">
        <f t="shared" si="76"/>
        <v>55.000000000000007</v>
      </c>
      <c r="J191" s="191">
        <f t="shared" si="76"/>
        <v>126.50000000000001</v>
      </c>
      <c r="K191" s="191">
        <f t="shared" si="76"/>
        <v>178.20000000000002</v>
      </c>
      <c r="L191" s="191">
        <f t="shared" si="76"/>
        <v>198.00000000000003</v>
      </c>
      <c r="M191" s="191">
        <f t="shared" si="76"/>
        <v>246.40000000000006</v>
      </c>
      <c r="N191" s="191">
        <f>SUM(B191:M191)</f>
        <v>1909.6000000000004</v>
      </c>
      <c r="P191" s="176"/>
      <c r="Q191" s="189"/>
      <c r="R191" s="190"/>
      <c r="S191" s="186"/>
      <c r="T191" s="176"/>
      <c r="U191" s="176"/>
      <c r="V191" s="176"/>
      <c r="W191" s="176"/>
      <c r="X191" s="176"/>
      <c r="Y191" s="176"/>
      <c r="Z191" s="176"/>
      <c r="AA191" s="176"/>
    </row>
    <row r="192" spans="1:27" s="55" customFormat="1" x14ac:dyDescent="0.2">
      <c r="A192" s="27"/>
      <c r="K192" s="176"/>
      <c r="L192" s="176"/>
      <c r="P192" s="176"/>
      <c r="Q192" s="189"/>
      <c r="R192" s="190"/>
      <c r="S192" s="186"/>
      <c r="T192" s="176"/>
      <c r="U192" s="176"/>
      <c r="V192" s="176"/>
      <c r="W192" s="176"/>
      <c r="X192" s="176"/>
      <c r="Y192" s="176"/>
      <c r="Z192" s="176"/>
      <c r="AA192" s="176"/>
    </row>
    <row r="193" spans="1:35" s="55" customFormat="1" x14ac:dyDescent="0.2">
      <c r="A193"/>
      <c r="K193" s="176"/>
      <c r="L193" s="176"/>
      <c r="P193" s="176"/>
      <c r="Q193" s="189"/>
      <c r="R193" s="190"/>
      <c r="S193" s="186"/>
      <c r="T193" s="176"/>
      <c r="U193" s="176"/>
      <c r="V193" s="176"/>
      <c r="W193" s="176"/>
      <c r="X193" s="176"/>
      <c r="Y193" s="176"/>
      <c r="Z193" s="176"/>
      <c r="AA193" s="176"/>
    </row>
    <row r="194" spans="1:35" s="55" customFormat="1" x14ac:dyDescent="0.2">
      <c r="A194" s="183" t="s">
        <v>185</v>
      </c>
      <c r="B194" s="184" t="s">
        <v>20</v>
      </c>
      <c r="C194" s="184" t="s">
        <v>21</v>
      </c>
      <c r="D194" s="184" t="s">
        <v>22</v>
      </c>
      <c r="E194" s="184" t="s">
        <v>23</v>
      </c>
      <c r="F194" s="184" t="s">
        <v>24</v>
      </c>
      <c r="G194" s="185" t="s">
        <v>25</v>
      </c>
      <c r="H194" s="185" t="s">
        <v>26</v>
      </c>
      <c r="I194" s="185" t="s">
        <v>27</v>
      </c>
      <c r="J194" s="185" t="s">
        <v>28</v>
      </c>
      <c r="K194" s="185" t="s">
        <v>29</v>
      </c>
      <c r="L194" s="185" t="s">
        <v>30</v>
      </c>
      <c r="M194" s="185" t="s">
        <v>31</v>
      </c>
      <c r="N194" s="185" t="s">
        <v>53</v>
      </c>
      <c r="P194" s="176"/>
      <c r="Q194" s="189"/>
      <c r="R194" s="190"/>
      <c r="S194" s="186"/>
      <c r="T194" s="176"/>
      <c r="U194" s="176"/>
      <c r="V194" s="176"/>
      <c r="W194" s="176"/>
      <c r="X194" s="176"/>
      <c r="Y194" s="176"/>
      <c r="Z194" s="176"/>
      <c r="AA194" s="176"/>
    </row>
    <row r="195" spans="1:35" s="55" customFormat="1" x14ac:dyDescent="0.2">
      <c r="A195" s="103" t="s">
        <v>202</v>
      </c>
      <c r="B195" s="192">
        <f t="shared" ref="B195:M195" si="77">B188*B18</f>
        <v>688332.93247193366</v>
      </c>
      <c r="C195" s="192">
        <f t="shared" si="77"/>
        <v>645082.65592188237</v>
      </c>
      <c r="D195" s="192">
        <f t="shared" si="77"/>
        <v>536492.5532286145</v>
      </c>
      <c r="E195" s="192">
        <f t="shared" si="77"/>
        <v>381985.02502937207</v>
      </c>
      <c r="F195" s="192">
        <f t="shared" si="77"/>
        <v>180907.83751431224</v>
      </c>
      <c r="G195" s="192">
        <f t="shared" si="77"/>
        <v>108506.97316038131</v>
      </c>
      <c r="H195" s="192">
        <f t="shared" si="77"/>
        <v>84840.947022593202</v>
      </c>
      <c r="I195" s="192">
        <f t="shared" si="77"/>
        <v>103250.45602369499</v>
      </c>
      <c r="J195" s="192">
        <f t="shared" si="77"/>
        <v>154693.25240032154</v>
      </c>
      <c r="K195" s="192">
        <f t="shared" si="77"/>
        <v>355557.18755937438</v>
      </c>
      <c r="L195" s="192">
        <f t="shared" si="77"/>
        <v>467559.00223732734</v>
      </c>
      <c r="M195" s="192">
        <f t="shared" si="77"/>
        <v>645263.02693378692</v>
      </c>
      <c r="N195" s="192">
        <f>SUM(B195:M195)</f>
        <v>4352471.8495035954</v>
      </c>
      <c r="O195" s="280"/>
      <c r="P195" s="176"/>
      <c r="Q195" s="189"/>
      <c r="R195" s="190"/>
      <c r="S195" s="186"/>
      <c r="T195" s="176"/>
      <c r="U195" s="176"/>
      <c r="V195" s="176"/>
      <c r="W195" s="176"/>
      <c r="X195" s="176"/>
      <c r="Y195" s="176"/>
      <c r="Z195" s="176"/>
      <c r="AA195" s="176"/>
    </row>
    <row r="196" spans="1:35" s="55" customFormat="1" x14ac:dyDescent="0.2"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280"/>
      <c r="P196" s="176"/>
      <c r="Q196" s="189"/>
      <c r="R196" s="190"/>
      <c r="S196" s="186"/>
      <c r="T196" s="176"/>
      <c r="U196" s="176"/>
      <c r="V196" s="176"/>
      <c r="W196" s="176"/>
      <c r="X196" s="176"/>
      <c r="Y196" s="176"/>
      <c r="Z196" s="176"/>
      <c r="AA196" s="176"/>
    </row>
    <row r="197" spans="1:35" s="55" customFormat="1" x14ac:dyDescent="0.2">
      <c r="A197" s="55" t="s">
        <v>276</v>
      </c>
      <c r="B197" s="192">
        <f t="shared" ref="B197:M197" si="78">B188*B21</f>
        <v>228754.21802397596</v>
      </c>
      <c r="C197" s="192">
        <f t="shared" si="78"/>
        <v>215628.22014766163</v>
      </c>
      <c r="D197" s="192">
        <f t="shared" si="78"/>
        <v>140146.1338422111</v>
      </c>
      <c r="E197" s="192">
        <f t="shared" si="78"/>
        <v>82485.412344649929</v>
      </c>
      <c r="F197" s="192">
        <f t="shared" si="78"/>
        <v>180907.83751431224</v>
      </c>
      <c r="G197" s="192">
        <f t="shared" si="78"/>
        <v>108506.97316038131</v>
      </c>
      <c r="H197" s="192">
        <f t="shared" si="78"/>
        <v>84840.947022593202</v>
      </c>
      <c r="I197" s="192">
        <f t="shared" si="78"/>
        <v>103250.45602369499</v>
      </c>
      <c r="J197" s="192">
        <f t="shared" si="78"/>
        <v>154693.25240032154</v>
      </c>
      <c r="K197" s="192">
        <f t="shared" si="78"/>
        <v>57330.335156353802</v>
      </c>
      <c r="L197" s="192">
        <f t="shared" si="78"/>
        <v>91104.360984992338</v>
      </c>
      <c r="M197" s="192">
        <f t="shared" si="78"/>
        <v>220270.68993698142</v>
      </c>
      <c r="N197" s="192">
        <f t="shared" ref="N197:N198" si="79">SUM(B197:M197)</f>
        <v>1667918.8365581292</v>
      </c>
      <c r="O197" s="280"/>
      <c r="P197" s="176"/>
      <c r="Q197" s="189"/>
      <c r="R197" s="190"/>
      <c r="S197" s="186"/>
      <c r="T197" s="176"/>
      <c r="U197" s="176"/>
      <c r="V197" s="176"/>
      <c r="W197" s="176"/>
      <c r="X197" s="176"/>
      <c r="Y197" s="176"/>
      <c r="Z197" s="176"/>
      <c r="AA197" s="176"/>
    </row>
    <row r="198" spans="1:35" s="55" customFormat="1" x14ac:dyDescent="0.2">
      <c r="A198" s="55" t="s">
        <v>277</v>
      </c>
      <c r="B198" s="192">
        <f t="shared" ref="B198:M198" si="80">B191*B22</f>
        <v>0</v>
      </c>
      <c r="C198" s="192">
        <f t="shared" si="80"/>
        <v>0</v>
      </c>
      <c r="D198" s="192">
        <f t="shared" si="80"/>
        <v>0</v>
      </c>
      <c r="E198" s="192">
        <f t="shared" si="80"/>
        <v>0</v>
      </c>
      <c r="F198" s="192">
        <f t="shared" si="80"/>
        <v>129337.76070928651</v>
      </c>
      <c r="G198" s="192">
        <f t="shared" si="80"/>
        <v>86402.387248729967</v>
      </c>
      <c r="H198" s="192">
        <f t="shared" si="80"/>
        <v>84352.254623800545</v>
      </c>
      <c r="I198" s="192">
        <f t="shared" si="80"/>
        <v>57761.35277428032</v>
      </c>
      <c r="J198" s="192">
        <f t="shared" si="80"/>
        <v>82755.098134415792</v>
      </c>
      <c r="K198" s="192">
        <f t="shared" si="80"/>
        <v>0</v>
      </c>
      <c r="L198" s="192">
        <f t="shared" si="80"/>
        <v>0</v>
      </c>
      <c r="M198" s="192">
        <f t="shared" si="80"/>
        <v>0</v>
      </c>
      <c r="N198" s="192">
        <f t="shared" si="79"/>
        <v>440608.85349051311</v>
      </c>
      <c r="O198" s="280"/>
      <c r="P198" s="176"/>
      <c r="Q198" s="189"/>
      <c r="R198" s="190"/>
      <c r="S198" s="186"/>
      <c r="T198" s="176"/>
      <c r="U198" s="176"/>
      <c r="V198" s="176"/>
      <c r="W198" s="176"/>
      <c r="X198" s="176"/>
      <c r="Y198" s="176"/>
      <c r="Z198" s="176"/>
      <c r="AA198" s="176"/>
    </row>
    <row r="199" spans="1:35" s="55" customFormat="1" x14ac:dyDescent="0.2">
      <c r="A199" s="25" t="s">
        <v>278</v>
      </c>
      <c r="B199" s="192">
        <f>B197+B198</f>
        <v>228754.21802397596</v>
      </c>
      <c r="C199" s="192">
        <f t="shared" ref="C199:M199" si="81">C197+C198</f>
        <v>215628.22014766163</v>
      </c>
      <c r="D199" s="192">
        <f t="shared" si="81"/>
        <v>140146.1338422111</v>
      </c>
      <c r="E199" s="192">
        <f t="shared" si="81"/>
        <v>82485.412344649929</v>
      </c>
      <c r="F199" s="192">
        <f t="shared" si="81"/>
        <v>310245.59822359873</v>
      </c>
      <c r="G199" s="192">
        <f t="shared" si="81"/>
        <v>194909.36040911128</v>
      </c>
      <c r="H199" s="192">
        <f t="shared" si="81"/>
        <v>169193.20164639375</v>
      </c>
      <c r="I199" s="192">
        <f t="shared" si="81"/>
        <v>161011.8087979753</v>
      </c>
      <c r="J199" s="192">
        <f t="shared" si="81"/>
        <v>237448.35053473734</v>
      </c>
      <c r="K199" s="192">
        <f t="shared" si="81"/>
        <v>57330.335156353802</v>
      </c>
      <c r="L199" s="192">
        <f t="shared" si="81"/>
        <v>91104.360984992338</v>
      </c>
      <c r="M199" s="192">
        <f t="shared" si="81"/>
        <v>220270.68993698142</v>
      </c>
      <c r="N199" s="192">
        <f>SUM(B199:M199)</f>
        <v>2108527.6900486425</v>
      </c>
      <c r="P199" s="176"/>
      <c r="Q199" s="189"/>
      <c r="R199" s="190"/>
      <c r="S199" s="186"/>
      <c r="T199" s="176"/>
      <c r="U199" s="176"/>
      <c r="V199" s="176"/>
      <c r="W199" s="176"/>
      <c r="X199" s="176"/>
      <c r="Y199" s="176"/>
      <c r="Z199" s="176"/>
      <c r="AA199" s="176"/>
    </row>
    <row r="201" spans="1:35" x14ac:dyDescent="0.2">
      <c r="A201" s="53" t="s">
        <v>193</v>
      </c>
      <c r="B201" s="184" t="s">
        <v>20</v>
      </c>
      <c r="C201" s="184" t="s">
        <v>21</v>
      </c>
      <c r="D201" s="184" t="s">
        <v>22</v>
      </c>
      <c r="E201" s="184" t="s">
        <v>23</v>
      </c>
      <c r="F201" s="184" t="s">
        <v>24</v>
      </c>
      <c r="G201" s="185" t="s">
        <v>25</v>
      </c>
      <c r="H201" s="185" t="s">
        <v>26</v>
      </c>
      <c r="I201" s="185" t="s">
        <v>27</v>
      </c>
      <c r="J201" s="185" t="s">
        <v>28</v>
      </c>
      <c r="K201" s="185" t="s">
        <v>29</v>
      </c>
      <c r="L201" s="185" t="s">
        <v>30</v>
      </c>
      <c r="M201" s="185" t="s">
        <v>31</v>
      </c>
      <c r="N201" s="185" t="s">
        <v>53</v>
      </c>
      <c r="O201" s="280"/>
      <c r="P201" s="280"/>
      <c r="Q201" s="280"/>
    </row>
    <row r="202" spans="1:35" x14ac:dyDescent="0.2">
      <c r="A202" t="s">
        <v>194</v>
      </c>
      <c r="B202" s="192">
        <f t="shared" ref="B202:M202" si="82">B188*B16</f>
        <v>124947.5765241827</v>
      </c>
      <c r="C202" s="192">
        <f t="shared" si="82"/>
        <v>124947.5765241827</v>
      </c>
      <c r="D202" s="192">
        <f t="shared" si="82"/>
        <v>111578.70002365287</v>
      </c>
      <c r="E202" s="192">
        <f t="shared" si="82"/>
        <v>111578.70002365287</v>
      </c>
      <c r="F202" s="192">
        <f t="shared" si="82"/>
        <v>84840.947022593202</v>
      </c>
      <c r="G202" s="192">
        <f t="shared" si="82"/>
        <v>84840.947022593202</v>
      </c>
      <c r="H202" s="192">
        <f t="shared" si="82"/>
        <v>84840.947022593202</v>
      </c>
      <c r="I202" s="192">
        <f t="shared" si="82"/>
        <v>84840.947022593202</v>
      </c>
      <c r="J202" s="192">
        <f t="shared" si="82"/>
        <v>84840.947022593202</v>
      </c>
      <c r="K202" s="192">
        <f t="shared" si="82"/>
        <v>111578.70002365287</v>
      </c>
      <c r="L202" s="192">
        <f t="shared" si="82"/>
        <v>111578.70002365287</v>
      </c>
      <c r="M202" s="192">
        <f t="shared" si="82"/>
        <v>124947.5765241827</v>
      </c>
      <c r="N202" s="192">
        <f>SUM(B202:M202)</f>
        <v>1245362.2647801256</v>
      </c>
      <c r="O202" s="296"/>
      <c r="P202" s="296"/>
      <c r="Q202" s="296"/>
      <c r="R202" s="296"/>
    </row>
    <row r="203" spans="1:35" x14ac:dyDescent="0.2">
      <c r="AD203" s="280"/>
    </row>
    <row r="204" spans="1:35" x14ac:dyDescent="0.2">
      <c r="A204" s="68"/>
      <c r="B204" s="68"/>
      <c r="C204" s="68"/>
      <c r="AD204" s="280"/>
    </row>
    <row r="205" spans="1:35" s="175" customFormat="1" ht="16" thickBot="1" x14ac:dyDescent="0.25">
      <c r="A205" s="218" t="s">
        <v>196</v>
      </c>
      <c r="B205" s="220" t="s">
        <v>186</v>
      </c>
      <c r="C205" s="220">
        <v>-2</v>
      </c>
      <c r="D205" s="221">
        <v>-1</v>
      </c>
      <c r="E205" s="221">
        <v>0</v>
      </c>
      <c r="F205" s="221">
        <v>1</v>
      </c>
      <c r="G205" s="221">
        <v>2</v>
      </c>
      <c r="H205" s="221">
        <v>3</v>
      </c>
      <c r="I205" s="221">
        <v>4</v>
      </c>
      <c r="J205" s="221">
        <v>5</v>
      </c>
      <c r="K205" s="221">
        <v>6</v>
      </c>
      <c r="L205" s="221">
        <v>7</v>
      </c>
      <c r="M205" s="221">
        <v>8</v>
      </c>
      <c r="N205" s="221">
        <v>9</v>
      </c>
      <c r="O205" s="221">
        <v>10</v>
      </c>
      <c r="P205" s="221">
        <v>11</v>
      </c>
      <c r="Q205" s="221">
        <v>12</v>
      </c>
      <c r="R205" s="221">
        <v>13</v>
      </c>
      <c r="S205" s="221">
        <v>14</v>
      </c>
      <c r="T205" s="221">
        <v>15</v>
      </c>
      <c r="U205" s="221">
        <v>16</v>
      </c>
      <c r="V205" s="221">
        <v>17</v>
      </c>
      <c r="W205" s="221">
        <v>18</v>
      </c>
      <c r="X205" s="221">
        <v>19</v>
      </c>
      <c r="Y205" s="222">
        <v>20</v>
      </c>
      <c r="Z205" s="222">
        <v>21</v>
      </c>
      <c r="AA205" s="221">
        <v>22</v>
      </c>
      <c r="AB205" s="221">
        <v>23</v>
      </c>
      <c r="AC205" s="218">
        <v>24</v>
      </c>
      <c r="AD205" s="280"/>
    </row>
    <row r="206" spans="1:35" x14ac:dyDescent="0.2">
      <c r="A206" s="219" t="s">
        <v>204</v>
      </c>
      <c r="B206" s="209"/>
      <c r="C206" s="210"/>
      <c r="D206" s="211"/>
      <c r="E206" s="211"/>
      <c r="F206" s="211"/>
      <c r="G206" s="211"/>
      <c r="H206" s="211"/>
      <c r="I206" s="211"/>
      <c r="J206" s="211"/>
      <c r="K206" s="211"/>
      <c r="L206" s="211"/>
      <c r="M206" s="211"/>
      <c r="N206" s="211"/>
      <c r="O206" s="211"/>
      <c r="P206" s="211"/>
      <c r="Q206" s="211"/>
      <c r="R206" s="211"/>
      <c r="S206" s="211"/>
      <c r="T206" s="211"/>
      <c r="U206" s="211"/>
      <c r="V206" s="211"/>
      <c r="W206" s="211"/>
      <c r="X206" s="211"/>
      <c r="AA206" s="211"/>
      <c r="AB206" s="211"/>
      <c r="AC206" s="292"/>
      <c r="AD206" s="280"/>
      <c r="AE206" s="175"/>
      <c r="AF206" s="175"/>
      <c r="AG206" s="175"/>
      <c r="AH206" s="175"/>
      <c r="AI206" s="175"/>
    </row>
    <row r="207" spans="1:35" ht="16" thickBot="1" x14ac:dyDescent="0.25">
      <c r="A207" s="217" t="s">
        <v>179</v>
      </c>
      <c r="B207" s="212">
        <f>NPV('ÄNDRINGSBARA PARAMETRAR'!B133,C207:AC207)</f>
        <v>44302465.481000885</v>
      </c>
      <c r="C207" s="289">
        <v>0</v>
      </c>
      <c r="D207" s="191">
        <v>0</v>
      </c>
      <c r="E207" s="287">
        <f>N195</f>
        <v>4352471.8495035954</v>
      </c>
      <c r="F207" s="192">
        <f>E207*(1+'ÄNDRINGSBARA PARAMETRAR'!$B$135)</f>
        <v>4352471.8495035954</v>
      </c>
      <c r="G207" s="206">
        <f>F207*(1+'ÄNDRINGSBARA PARAMETRAR'!$B$135)</f>
        <v>4352471.8495035954</v>
      </c>
      <c r="H207" s="206">
        <f>G207*(1+'ÄNDRINGSBARA PARAMETRAR'!$B$135)</f>
        <v>4352471.8495035954</v>
      </c>
      <c r="I207" s="206">
        <f>H207*(1+'ÄNDRINGSBARA PARAMETRAR'!$B$135)</f>
        <v>4352471.8495035954</v>
      </c>
      <c r="J207" s="206">
        <f>I207*(1+'ÄNDRINGSBARA PARAMETRAR'!$B$135)</f>
        <v>4352471.8495035954</v>
      </c>
      <c r="K207" s="206">
        <f>J207*(1+'ÄNDRINGSBARA PARAMETRAR'!$B$135)</f>
        <v>4352471.8495035954</v>
      </c>
      <c r="L207" s="206">
        <f>K207*(1+'ÄNDRINGSBARA PARAMETRAR'!$B$135)</f>
        <v>4352471.8495035954</v>
      </c>
      <c r="M207" s="206">
        <f>L207*(1+'ÄNDRINGSBARA PARAMETRAR'!$B$135)</f>
        <v>4352471.8495035954</v>
      </c>
      <c r="N207" s="206">
        <f>M207*(1+'ÄNDRINGSBARA PARAMETRAR'!$B$135)</f>
        <v>4352471.8495035954</v>
      </c>
      <c r="O207" s="206">
        <f>N207*(1+'ÄNDRINGSBARA PARAMETRAR'!$B$135)</f>
        <v>4352471.8495035954</v>
      </c>
      <c r="P207" s="206">
        <f>O207*(1+'ÄNDRINGSBARA PARAMETRAR'!$B$135)</f>
        <v>4352471.8495035954</v>
      </c>
      <c r="Q207" s="206">
        <f>P207*(1+'ÄNDRINGSBARA PARAMETRAR'!$B$135)</f>
        <v>4352471.8495035954</v>
      </c>
      <c r="R207" s="206">
        <f>Q207*(1+'ÄNDRINGSBARA PARAMETRAR'!$B$135)</f>
        <v>4352471.8495035954</v>
      </c>
      <c r="S207" s="206">
        <f>R207*(1+'ÄNDRINGSBARA PARAMETRAR'!$B$135)</f>
        <v>4352471.8495035954</v>
      </c>
      <c r="T207" s="206">
        <f>S207*(1+'ÄNDRINGSBARA PARAMETRAR'!$B$135)</f>
        <v>4352471.8495035954</v>
      </c>
      <c r="U207" s="206">
        <f>T207*(1+'ÄNDRINGSBARA PARAMETRAR'!$B$135)</f>
        <v>4352471.8495035954</v>
      </c>
      <c r="V207" s="206">
        <f>U207*(1+'ÄNDRINGSBARA PARAMETRAR'!$B$135)</f>
        <v>4352471.8495035954</v>
      </c>
      <c r="W207" s="206">
        <f>V207*(1+'ÄNDRINGSBARA PARAMETRAR'!$B$135)</f>
        <v>4352471.8495035954</v>
      </c>
      <c r="X207" s="206">
        <f>W207*(1+'ÄNDRINGSBARA PARAMETRAR'!$B$135)</f>
        <v>4352471.8495035954</v>
      </c>
      <c r="Y207" s="206">
        <f>X207*(1+'ÄNDRINGSBARA PARAMETRAR'!$B$135)</f>
        <v>4352471.8495035954</v>
      </c>
      <c r="Z207" s="206">
        <f>Y207*(1+'ÄNDRINGSBARA PARAMETRAR'!$B$135)</f>
        <v>4352471.8495035954</v>
      </c>
      <c r="AA207" s="206">
        <f>Z207*(1+'ÄNDRINGSBARA PARAMETRAR'!$B$135)</f>
        <v>4352471.8495035954</v>
      </c>
      <c r="AB207" s="192">
        <f>AA207*(1+'ÄNDRINGSBARA PARAMETRAR'!$B$135)</f>
        <v>4352471.8495035954</v>
      </c>
      <c r="AC207" s="282">
        <f>AB207*(1+'ÄNDRINGSBARA PARAMETRAR'!$B$135)</f>
        <v>4352471.8495035954</v>
      </c>
      <c r="AD207" s="280"/>
      <c r="AE207" s="175"/>
      <c r="AF207" s="175"/>
      <c r="AG207" s="175"/>
      <c r="AH207" s="175"/>
      <c r="AI207" s="175"/>
    </row>
    <row r="208" spans="1:35" ht="17" thickTop="1" thickBot="1" x14ac:dyDescent="0.25">
      <c r="A208" s="218" t="s">
        <v>180</v>
      </c>
      <c r="B208" s="213">
        <f t="shared" ref="B208:AC208" si="83">SUM(B207:B207)</f>
        <v>44302465.481000885</v>
      </c>
      <c r="C208" s="290">
        <f t="shared" si="83"/>
        <v>0</v>
      </c>
      <c r="D208" s="215">
        <f>SUM(D207:D207)</f>
        <v>0</v>
      </c>
      <c r="E208" s="288">
        <f t="shared" si="83"/>
        <v>4352471.8495035954</v>
      </c>
      <c r="F208" s="214">
        <f t="shared" si="83"/>
        <v>4352471.8495035954</v>
      </c>
      <c r="G208" s="214">
        <f t="shared" si="83"/>
        <v>4352471.8495035954</v>
      </c>
      <c r="H208" s="214">
        <f t="shared" si="83"/>
        <v>4352471.8495035954</v>
      </c>
      <c r="I208" s="214">
        <f t="shared" si="83"/>
        <v>4352471.8495035954</v>
      </c>
      <c r="J208" s="214">
        <f t="shared" si="83"/>
        <v>4352471.8495035954</v>
      </c>
      <c r="K208" s="214">
        <f t="shared" si="83"/>
        <v>4352471.8495035954</v>
      </c>
      <c r="L208" s="214">
        <f t="shared" si="83"/>
        <v>4352471.8495035954</v>
      </c>
      <c r="M208" s="214">
        <f t="shared" si="83"/>
        <v>4352471.8495035954</v>
      </c>
      <c r="N208" s="214">
        <f t="shared" si="83"/>
        <v>4352471.8495035954</v>
      </c>
      <c r="O208" s="214">
        <f t="shared" si="83"/>
        <v>4352471.8495035954</v>
      </c>
      <c r="P208" s="214">
        <f t="shared" si="83"/>
        <v>4352471.8495035954</v>
      </c>
      <c r="Q208" s="214">
        <f t="shared" si="83"/>
        <v>4352471.8495035954</v>
      </c>
      <c r="R208" s="214">
        <f t="shared" si="83"/>
        <v>4352471.8495035954</v>
      </c>
      <c r="S208" s="214">
        <f t="shared" si="83"/>
        <v>4352471.8495035954</v>
      </c>
      <c r="T208" s="214">
        <f t="shared" si="83"/>
        <v>4352471.8495035954</v>
      </c>
      <c r="U208" s="214">
        <f t="shared" si="83"/>
        <v>4352471.8495035954</v>
      </c>
      <c r="V208" s="214">
        <f t="shared" si="83"/>
        <v>4352471.8495035954</v>
      </c>
      <c r="W208" s="214">
        <f t="shared" si="83"/>
        <v>4352471.8495035954</v>
      </c>
      <c r="X208" s="214">
        <f t="shared" si="83"/>
        <v>4352471.8495035954</v>
      </c>
      <c r="Y208" s="214">
        <f t="shared" si="83"/>
        <v>4352471.8495035954</v>
      </c>
      <c r="Z208" s="214">
        <f t="shared" si="83"/>
        <v>4352471.8495035954</v>
      </c>
      <c r="AA208" s="214">
        <f t="shared" si="83"/>
        <v>4352471.8495035954</v>
      </c>
      <c r="AB208" s="215">
        <f t="shared" si="83"/>
        <v>4352471.8495035954</v>
      </c>
      <c r="AC208" s="293">
        <f t="shared" si="83"/>
        <v>4352471.8495035954</v>
      </c>
      <c r="AD208" s="280"/>
      <c r="AE208" s="175"/>
      <c r="AF208" s="175"/>
      <c r="AG208" s="175"/>
      <c r="AH208" s="175"/>
      <c r="AI208" s="175"/>
    </row>
    <row r="209" spans="1:35" x14ac:dyDescent="0.2">
      <c r="AD209" s="280"/>
      <c r="AE209" s="175"/>
      <c r="AF209" s="175"/>
      <c r="AG209" s="175"/>
      <c r="AH209" s="175"/>
      <c r="AI209" s="175"/>
    </row>
    <row r="210" spans="1:35" s="175" customFormat="1" ht="16" thickBot="1" x14ac:dyDescent="0.25">
      <c r="A210" s="218" t="s">
        <v>196</v>
      </c>
      <c r="B210" s="220" t="s">
        <v>186</v>
      </c>
      <c r="C210" s="220">
        <v>-2</v>
      </c>
      <c r="D210" s="221">
        <v>-1</v>
      </c>
      <c r="E210" s="221">
        <v>0</v>
      </c>
      <c r="F210" s="221">
        <v>1</v>
      </c>
      <c r="G210" s="221">
        <v>2</v>
      </c>
      <c r="H210" s="221">
        <v>3</v>
      </c>
      <c r="I210" s="221">
        <v>4</v>
      </c>
      <c r="J210" s="221">
        <v>5</v>
      </c>
      <c r="K210" s="221">
        <v>6</v>
      </c>
      <c r="L210" s="221">
        <v>7</v>
      </c>
      <c r="M210" s="221">
        <v>8</v>
      </c>
      <c r="N210" s="221">
        <v>9</v>
      </c>
      <c r="O210" s="221">
        <v>10</v>
      </c>
      <c r="P210" s="221">
        <v>11</v>
      </c>
      <c r="Q210" s="221">
        <v>12</v>
      </c>
      <c r="R210" s="221">
        <v>13</v>
      </c>
      <c r="S210" s="221">
        <v>14</v>
      </c>
      <c r="T210" s="221">
        <v>15</v>
      </c>
      <c r="U210" s="221">
        <v>16</v>
      </c>
      <c r="V210" s="221">
        <v>17</v>
      </c>
      <c r="W210" s="221">
        <v>18</v>
      </c>
      <c r="X210" s="221">
        <v>19</v>
      </c>
      <c r="Y210" s="222">
        <v>20</v>
      </c>
      <c r="Z210" s="222">
        <v>21</v>
      </c>
      <c r="AA210" s="221">
        <v>22</v>
      </c>
      <c r="AB210" s="221">
        <v>23</v>
      </c>
      <c r="AC210" s="294">
        <v>24</v>
      </c>
      <c r="AD210" s="280"/>
    </row>
    <row r="211" spans="1:35" x14ac:dyDescent="0.2">
      <c r="A211" s="219" t="s">
        <v>203</v>
      </c>
      <c r="B211" s="210"/>
      <c r="C211" s="211"/>
      <c r="D211" s="211"/>
      <c r="E211" s="211"/>
      <c r="F211" s="211"/>
      <c r="G211" s="211"/>
      <c r="H211" s="211"/>
      <c r="I211" s="211"/>
      <c r="J211" s="211"/>
      <c r="K211" s="211"/>
      <c r="L211" s="211"/>
      <c r="M211" s="211"/>
      <c r="N211" s="211"/>
      <c r="O211" s="211"/>
      <c r="P211" s="211"/>
      <c r="Q211" s="211"/>
      <c r="R211" s="211"/>
      <c r="S211" s="211"/>
      <c r="T211" s="211"/>
      <c r="U211" s="211"/>
      <c r="V211" s="211"/>
      <c r="W211" s="211"/>
      <c r="X211" s="211"/>
      <c r="Y211" s="27"/>
      <c r="Z211" s="27"/>
      <c r="AA211" s="211"/>
      <c r="AB211" s="211"/>
      <c r="AC211" s="292"/>
      <c r="AD211" s="280"/>
      <c r="AE211" s="175"/>
      <c r="AF211" s="175"/>
      <c r="AG211" s="175"/>
      <c r="AH211" s="175"/>
      <c r="AI211" s="175"/>
    </row>
    <row r="212" spans="1:35" ht="16" thickBot="1" x14ac:dyDescent="0.25">
      <c r="A212" s="217" t="s">
        <v>192</v>
      </c>
      <c r="B212" s="598">
        <f>NPV('ÄNDRINGSBARA PARAMETRAR'!B133,C212:AC212)</f>
        <v>18569451.570059232</v>
      </c>
      <c r="C212" s="599">
        <f>B155</f>
        <v>19869313.17996338</v>
      </c>
      <c r="D212" s="600"/>
      <c r="E212" s="600"/>
      <c r="F212" s="600"/>
      <c r="G212" s="600"/>
      <c r="H212" s="600"/>
      <c r="I212" s="600"/>
      <c r="J212" s="600"/>
      <c r="K212" s="600"/>
      <c r="L212" s="600"/>
      <c r="M212" s="600"/>
      <c r="N212" s="600"/>
      <c r="O212" s="600"/>
      <c r="P212" s="600"/>
      <c r="Q212" s="600"/>
      <c r="R212" s="600"/>
      <c r="S212" s="600"/>
      <c r="T212" s="600"/>
      <c r="U212" s="600"/>
      <c r="V212" s="600"/>
      <c r="W212" s="600"/>
      <c r="X212" s="600"/>
      <c r="Y212" s="600"/>
      <c r="Z212" s="600"/>
      <c r="AA212" s="600"/>
      <c r="AB212" s="600"/>
      <c r="AC212" s="601"/>
      <c r="AD212" s="280"/>
      <c r="AE212" s="175"/>
      <c r="AF212" s="175"/>
      <c r="AG212" s="175"/>
      <c r="AH212" s="175"/>
      <c r="AI212" s="175"/>
    </row>
    <row r="213" spans="1:35" s="280" customFormat="1" ht="16" thickTop="1" x14ac:dyDescent="0.2">
      <c r="A213" s="217" t="s">
        <v>301</v>
      </c>
      <c r="B213" s="598">
        <f>NPV('ÄNDRINGSBARA PARAMETRAR'!B133,C213:AC213)</f>
        <v>3827787.5963878143</v>
      </c>
      <c r="C213" s="598">
        <f>$B$162</f>
        <v>319335.98989284225</v>
      </c>
      <c r="D213" s="598">
        <f t="shared" ref="D213:AC213" si="84">$B$162</f>
        <v>319335.98989284225</v>
      </c>
      <c r="E213" s="598">
        <f t="shared" si="84"/>
        <v>319335.98989284225</v>
      </c>
      <c r="F213" s="598">
        <f t="shared" si="84"/>
        <v>319335.98989284225</v>
      </c>
      <c r="G213" s="598">
        <f t="shared" si="84"/>
        <v>319335.98989284225</v>
      </c>
      <c r="H213" s="598">
        <f t="shared" si="84"/>
        <v>319335.98989284225</v>
      </c>
      <c r="I213" s="598">
        <f t="shared" si="84"/>
        <v>319335.98989284225</v>
      </c>
      <c r="J213" s="598">
        <f t="shared" si="84"/>
        <v>319335.98989284225</v>
      </c>
      <c r="K213" s="598">
        <f t="shared" si="84"/>
        <v>319335.98989284225</v>
      </c>
      <c r="L213" s="598">
        <f t="shared" si="84"/>
        <v>319335.98989284225</v>
      </c>
      <c r="M213" s="598">
        <f t="shared" si="84"/>
        <v>319335.98989284225</v>
      </c>
      <c r="N213" s="598">
        <f t="shared" si="84"/>
        <v>319335.98989284225</v>
      </c>
      <c r="O213" s="598">
        <f t="shared" si="84"/>
        <v>319335.98989284225</v>
      </c>
      <c r="P213" s="598">
        <f t="shared" si="84"/>
        <v>319335.98989284225</v>
      </c>
      <c r="Q213" s="598">
        <f t="shared" si="84"/>
        <v>319335.98989284225</v>
      </c>
      <c r="R213" s="598">
        <f t="shared" si="84"/>
        <v>319335.98989284225</v>
      </c>
      <c r="S213" s="598">
        <f t="shared" si="84"/>
        <v>319335.98989284225</v>
      </c>
      <c r="T213" s="598">
        <f t="shared" si="84"/>
        <v>319335.98989284225</v>
      </c>
      <c r="U213" s="598">
        <f t="shared" si="84"/>
        <v>319335.98989284225</v>
      </c>
      <c r="V213" s="598">
        <f t="shared" si="84"/>
        <v>319335.98989284225</v>
      </c>
      <c r="W213" s="598">
        <f t="shared" si="84"/>
        <v>319335.98989284225</v>
      </c>
      <c r="X213" s="598">
        <f t="shared" si="84"/>
        <v>319335.98989284225</v>
      </c>
      <c r="Y213" s="598">
        <f t="shared" si="84"/>
        <v>319335.98989284225</v>
      </c>
      <c r="Z213" s="598">
        <f t="shared" si="84"/>
        <v>319335.98989284225</v>
      </c>
      <c r="AA213" s="598">
        <f t="shared" si="84"/>
        <v>319335.98989284225</v>
      </c>
      <c r="AB213" s="598">
        <f t="shared" si="84"/>
        <v>319335.98989284225</v>
      </c>
      <c r="AC213" s="602">
        <f t="shared" si="84"/>
        <v>319335.98989284225</v>
      </c>
      <c r="AE213" s="175"/>
      <c r="AF213" s="175"/>
      <c r="AG213" s="175"/>
      <c r="AH213" s="175"/>
      <c r="AI213" s="175"/>
    </row>
    <row r="214" spans="1:35" s="250" customFormat="1" x14ac:dyDescent="0.2">
      <c r="A214" s="217" t="s">
        <v>262</v>
      </c>
      <c r="B214" s="598">
        <f>NPV('ÄNDRINGSBARA PARAMETRAR'!B133,C214:AC214)</f>
        <v>3287935.2528735995</v>
      </c>
      <c r="C214" s="598">
        <v>0</v>
      </c>
      <c r="D214" s="598">
        <f>N168</f>
        <v>2314690.6839109082</v>
      </c>
      <c r="E214" s="603">
        <f>N169</f>
        <v>1551143.0342013617</v>
      </c>
      <c r="F214" s="600"/>
      <c r="G214" s="600"/>
      <c r="H214" s="600"/>
      <c r="I214" s="600"/>
      <c r="J214" s="600"/>
      <c r="K214" s="600"/>
      <c r="L214" s="600"/>
      <c r="M214" s="600"/>
      <c r="N214" s="600"/>
      <c r="O214" s="600"/>
      <c r="P214" s="600"/>
      <c r="Q214" s="600"/>
      <c r="R214" s="600"/>
      <c r="S214" s="600"/>
      <c r="T214" s="600"/>
      <c r="U214" s="600"/>
      <c r="V214" s="600"/>
      <c r="W214" s="600"/>
      <c r="X214" s="600"/>
      <c r="Y214" s="600"/>
      <c r="Z214" s="600"/>
      <c r="AA214" s="600"/>
      <c r="AB214" s="600"/>
      <c r="AC214" s="601"/>
      <c r="AD214" s="280"/>
      <c r="AE214" s="175"/>
      <c r="AF214" s="175"/>
      <c r="AG214" s="175"/>
      <c r="AH214" s="175"/>
      <c r="AI214" s="175"/>
    </row>
    <row r="215" spans="1:35" x14ac:dyDescent="0.2">
      <c r="A215" s="269" t="s">
        <v>219</v>
      </c>
      <c r="B215" s="598">
        <f>NPV('ÄNDRINGSBARA PARAMETRAR'!B133,C215:AC215)</f>
        <v>21462051.550033201</v>
      </c>
      <c r="C215" s="598">
        <v>0</v>
      </c>
      <c r="D215" s="598">
        <v>0</v>
      </c>
      <c r="E215" s="598">
        <f>N199</f>
        <v>2108527.6900486425</v>
      </c>
      <c r="F215" s="603">
        <f>E215*(1+'ÄNDRINGSBARA PARAMETRAR'!$B$134)</f>
        <v>2108527.6900486425</v>
      </c>
      <c r="G215" s="603">
        <f>F215*(1+'ÄNDRINGSBARA PARAMETRAR'!$B$134)</f>
        <v>2108527.6900486425</v>
      </c>
      <c r="H215" s="603">
        <f>G215*(1+'ÄNDRINGSBARA PARAMETRAR'!$B$134)</f>
        <v>2108527.6900486425</v>
      </c>
      <c r="I215" s="603">
        <f>H215*(1+'ÄNDRINGSBARA PARAMETRAR'!$B$134)</f>
        <v>2108527.6900486425</v>
      </c>
      <c r="J215" s="603">
        <f>I215*(1+'ÄNDRINGSBARA PARAMETRAR'!$B$134)</f>
        <v>2108527.6900486425</v>
      </c>
      <c r="K215" s="603">
        <f>J215*(1+'ÄNDRINGSBARA PARAMETRAR'!$B$134)</f>
        <v>2108527.6900486425</v>
      </c>
      <c r="L215" s="603">
        <f>K215*(1+'ÄNDRINGSBARA PARAMETRAR'!$B$134)</f>
        <v>2108527.6900486425</v>
      </c>
      <c r="M215" s="603">
        <f>L215*(1+'ÄNDRINGSBARA PARAMETRAR'!$B$134)</f>
        <v>2108527.6900486425</v>
      </c>
      <c r="N215" s="603">
        <f>M215*(1+'ÄNDRINGSBARA PARAMETRAR'!$B$134)</f>
        <v>2108527.6900486425</v>
      </c>
      <c r="O215" s="603">
        <f>N215*(1+'ÄNDRINGSBARA PARAMETRAR'!$B$134)</f>
        <v>2108527.6900486425</v>
      </c>
      <c r="P215" s="603">
        <f>O215*(1+'ÄNDRINGSBARA PARAMETRAR'!$B$134)</f>
        <v>2108527.6900486425</v>
      </c>
      <c r="Q215" s="603">
        <f>P215*(1+'ÄNDRINGSBARA PARAMETRAR'!$B$134)</f>
        <v>2108527.6900486425</v>
      </c>
      <c r="R215" s="603">
        <f>Q215*(1+'ÄNDRINGSBARA PARAMETRAR'!$B$134)</f>
        <v>2108527.6900486425</v>
      </c>
      <c r="S215" s="603">
        <f>R215*(1+'ÄNDRINGSBARA PARAMETRAR'!$B$134)</f>
        <v>2108527.6900486425</v>
      </c>
      <c r="T215" s="603">
        <f>S215*(1+'ÄNDRINGSBARA PARAMETRAR'!$B$134)</f>
        <v>2108527.6900486425</v>
      </c>
      <c r="U215" s="603">
        <f>T215*(1+'ÄNDRINGSBARA PARAMETRAR'!$B$134)</f>
        <v>2108527.6900486425</v>
      </c>
      <c r="V215" s="603">
        <f>U215*(1+'ÄNDRINGSBARA PARAMETRAR'!$B$134)</f>
        <v>2108527.6900486425</v>
      </c>
      <c r="W215" s="603">
        <f>V215*(1+'ÄNDRINGSBARA PARAMETRAR'!$B$134)</f>
        <v>2108527.6900486425</v>
      </c>
      <c r="X215" s="603">
        <f>W215*(1+'ÄNDRINGSBARA PARAMETRAR'!$B$134)</f>
        <v>2108527.6900486425</v>
      </c>
      <c r="Y215" s="603">
        <f>X215*(1+'ÄNDRINGSBARA PARAMETRAR'!$B$134)</f>
        <v>2108527.6900486425</v>
      </c>
      <c r="Z215" s="603">
        <f>Y215*(1+'ÄNDRINGSBARA PARAMETRAR'!$B$134)</f>
        <v>2108527.6900486425</v>
      </c>
      <c r="AA215" s="603">
        <f>Z215*(1+'ÄNDRINGSBARA PARAMETRAR'!$B$134)</f>
        <v>2108527.6900486425</v>
      </c>
      <c r="AB215" s="603">
        <f>AA215*(1+'ÄNDRINGSBARA PARAMETRAR'!$B$134)</f>
        <v>2108527.6900486425</v>
      </c>
      <c r="AC215" s="602">
        <f>AB215*(1+'ÄNDRINGSBARA PARAMETRAR'!$B$134)</f>
        <v>2108527.6900486425</v>
      </c>
      <c r="AD215" s="280"/>
      <c r="AE215" s="175"/>
      <c r="AF215" s="175"/>
      <c r="AG215" s="175"/>
      <c r="AH215" s="175"/>
      <c r="AI215" s="175"/>
    </row>
    <row r="216" spans="1:35" ht="16" thickBot="1" x14ac:dyDescent="0.25">
      <c r="A216" s="218" t="s">
        <v>180</v>
      </c>
      <c r="B216" s="604">
        <f t="shared" ref="B216:AC216" si="85">SUM(B212:B215)</f>
        <v>47147225.969353847</v>
      </c>
      <c r="C216" s="605">
        <f t="shared" si="85"/>
        <v>20188649.16985622</v>
      </c>
      <c r="D216" s="606">
        <f t="shared" si="85"/>
        <v>2634026.6738037504</v>
      </c>
      <c r="E216" s="606">
        <f t="shared" si="85"/>
        <v>3979006.7141428464</v>
      </c>
      <c r="F216" s="606">
        <f t="shared" si="85"/>
        <v>2427863.6799414847</v>
      </c>
      <c r="G216" s="606">
        <f t="shared" si="85"/>
        <v>2427863.6799414847</v>
      </c>
      <c r="H216" s="606">
        <f t="shared" si="85"/>
        <v>2427863.6799414847</v>
      </c>
      <c r="I216" s="606">
        <f t="shared" si="85"/>
        <v>2427863.6799414847</v>
      </c>
      <c r="J216" s="606">
        <f t="shared" si="85"/>
        <v>2427863.6799414847</v>
      </c>
      <c r="K216" s="606">
        <f t="shared" si="85"/>
        <v>2427863.6799414847</v>
      </c>
      <c r="L216" s="606">
        <f t="shared" si="85"/>
        <v>2427863.6799414847</v>
      </c>
      <c r="M216" s="606">
        <f t="shared" si="85"/>
        <v>2427863.6799414847</v>
      </c>
      <c r="N216" s="606">
        <f t="shared" si="85"/>
        <v>2427863.6799414847</v>
      </c>
      <c r="O216" s="606">
        <f t="shared" si="85"/>
        <v>2427863.6799414847</v>
      </c>
      <c r="P216" s="606">
        <f t="shared" si="85"/>
        <v>2427863.6799414847</v>
      </c>
      <c r="Q216" s="606">
        <f t="shared" si="85"/>
        <v>2427863.6799414847</v>
      </c>
      <c r="R216" s="606">
        <f t="shared" si="85"/>
        <v>2427863.6799414847</v>
      </c>
      <c r="S216" s="606">
        <f t="shared" si="85"/>
        <v>2427863.6799414847</v>
      </c>
      <c r="T216" s="606">
        <f t="shared" si="85"/>
        <v>2427863.6799414847</v>
      </c>
      <c r="U216" s="606">
        <f t="shared" si="85"/>
        <v>2427863.6799414847</v>
      </c>
      <c r="V216" s="606">
        <f t="shared" si="85"/>
        <v>2427863.6799414847</v>
      </c>
      <c r="W216" s="606">
        <f t="shared" si="85"/>
        <v>2427863.6799414847</v>
      </c>
      <c r="X216" s="606">
        <f t="shared" si="85"/>
        <v>2427863.6799414847</v>
      </c>
      <c r="Y216" s="606">
        <f t="shared" si="85"/>
        <v>2427863.6799414847</v>
      </c>
      <c r="Z216" s="606">
        <f t="shared" si="85"/>
        <v>2427863.6799414847</v>
      </c>
      <c r="AA216" s="606">
        <f t="shared" si="85"/>
        <v>2427863.6799414847</v>
      </c>
      <c r="AB216" s="606">
        <f t="shared" si="85"/>
        <v>2427863.6799414847</v>
      </c>
      <c r="AC216" s="607">
        <f t="shared" si="85"/>
        <v>2427863.6799414847</v>
      </c>
      <c r="AD216" s="280"/>
      <c r="AE216" s="175"/>
      <c r="AF216" s="175"/>
      <c r="AG216" s="175"/>
      <c r="AH216" s="175"/>
      <c r="AI216" s="175"/>
    </row>
    <row r="217" spans="1:35" x14ac:dyDescent="0.2">
      <c r="B217" s="205"/>
      <c r="C217" s="205"/>
      <c r="D217" s="205"/>
      <c r="E217" s="205"/>
      <c r="F217" s="205"/>
      <c r="G217" s="205"/>
      <c r="H217" s="205"/>
      <c r="I217" s="205"/>
      <c r="J217" s="205"/>
      <c r="K217" s="205"/>
      <c r="L217" s="205"/>
      <c r="M217" s="205"/>
      <c r="N217" s="205"/>
      <c r="O217" s="205"/>
      <c r="P217" s="205"/>
      <c r="Q217" s="205"/>
      <c r="R217" s="205"/>
      <c r="S217" s="205"/>
      <c r="T217" s="205"/>
      <c r="U217" s="205"/>
      <c r="V217" s="205"/>
      <c r="W217" s="205"/>
      <c r="X217" s="205"/>
      <c r="Y217" s="205"/>
      <c r="Z217" s="205"/>
      <c r="AA217" s="205"/>
      <c r="AB217" s="205"/>
      <c r="AC217" s="205"/>
      <c r="AD217" s="280"/>
      <c r="AE217" s="175"/>
      <c r="AF217" s="175"/>
      <c r="AG217" s="175"/>
      <c r="AH217" s="175"/>
      <c r="AI217" s="175"/>
    </row>
    <row r="218" spans="1:35" s="175" customFormat="1" ht="16" thickBot="1" x14ac:dyDescent="0.25">
      <c r="A218" s="218" t="s">
        <v>196</v>
      </c>
      <c r="B218" s="608" t="s">
        <v>186</v>
      </c>
      <c r="C218" s="608">
        <v>-2</v>
      </c>
      <c r="D218" s="609">
        <v>-1</v>
      </c>
      <c r="E218" s="609">
        <v>0</v>
      </c>
      <c r="F218" s="609">
        <v>1</v>
      </c>
      <c r="G218" s="609">
        <v>2</v>
      </c>
      <c r="H218" s="609">
        <v>3</v>
      </c>
      <c r="I218" s="609">
        <v>4</v>
      </c>
      <c r="J218" s="609">
        <v>5</v>
      </c>
      <c r="K218" s="609">
        <v>6</v>
      </c>
      <c r="L218" s="609">
        <v>7</v>
      </c>
      <c r="M218" s="609">
        <v>8</v>
      </c>
      <c r="N218" s="609">
        <v>9</v>
      </c>
      <c r="O218" s="609">
        <v>10</v>
      </c>
      <c r="P218" s="609">
        <v>11</v>
      </c>
      <c r="Q218" s="609">
        <v>12</v>
      </c>
      <c r="R218" s="609">
        <v>13</v>
      </c>
      <c r="S218" s="609">
        <v>14</v>
      </c>
      <c r="T218" s="609">
        <v>15</v>
      </c>
      <c r="U218" s="609">
        <v>16</v>
      </c>
      <c r="V218" s="609">
        <v>17</v>
      </c>
      <c r="W218" s="609">
        <v>18</v>
      </c>
      <c r="X218" s="609">
        <v>19</v>
      </c>
      <c r="Y218" s="610">
        <v>20</v>
      </c>
      <c r="Z218" s="610">
        <v>21</v>
      </c>
      <c r="AA218" s="609">
        <v>22</v>
      </c>
      <c r="AB218" s="609">
        <v>23</v>
      </c>
      <c r="AC218" s="611">
        <v>24</v>
      </c>
      <c r="AD218" s="280"/>
    </row>
    <row r="219" spans="1:35" x14ac:dyDescent="0.2">
      <c r="A219" s="5" t="s">
        <v>197</v>
      </c>
      <c r="B219" s="205"/>
      <c r="C219" s="205"/>
      <c r="D219" s="205"/>
      <c r="E219" s="205"/>
      <c r="F219" s="205"/>
      <c r="G219" s="205"/>
      <c r="H219" s="205"/>
      <c r="I219" s="205"/>
      <c r="J219" s="205"/>
      <c r="K219" s="205"/>
      <c r="L219" s="205"/>
      <c r="M219" s="205"/>
      <c r="N219" s="205"/>
      <c r="O219" s="205"/>
      <c r="P219" s="205"/>
      <c r="Q219" s="205"/>
      <c r="R219" s="205"/>
      <c r="S219" s="205"/>
      <c r="T219" s="205"/>
      <c r="U219" s="205"/>
      <c r="V219" s="205"/>
      <c r="W219" s="205"/>
      <c r="X219" s="205"/>
      <c r="Y219" s="205"/>
      <c r="Z219" s="205"/>
      <c r="AA219" s="205"/>
      <c r="AB219" s="205"/>
      <c r="AC219" s="292"/>
      <c r="AD219" s="280"/>
    </row>
    <row r="220" spans="1:35" ht="16" thickBot="1" x14ac:dyDescent="0.25">
      <c r="A220" s="291" t="s">
        <v>282</v>
      </c>
      <c r="B220" s="612">
        <f>B208-B216</f>
        <v>-2844760.4883529618</v>
      </c>
      <c r="C220" s="612">
        <f>C208-C216</f>
        <v>-20188649.16985622</v>
      </c>
      <c r="D220" s="612">
        <f t="shared" ref="D220:AC220" si="86">D208-D216</f>
        <v>-2634026.6738037504</v>
      </c>
      <c r="E220" s="612">
        <f t="shared" si="86"/>
        <v>373465.13536074897</v>
      </c>
      <c r="F220" s="612">
        <f t="shared" si="86"/>
        <v>1924608.1695621107</v>
      </c>
      <c r="G220" s="612">
        <f t="shared" si="86"/>
        <v>1924608.1695621107</v>
      </c>
      <c r="H220" s="612">
        <f t="shared" si="86"/>
        <v>1924608.1695621107</v>
      </c>
      <c r="I220" s="612">
        <f t="shared" si="86"/>
        <v>1924608.1695621107</v>
      </c>
      <c r="J220" s="612">
        <f t="shared" si="86"/>
        <v>1924608.1695621107</v>
      </c>
      <c r="K220" s="612">
        <f t="shared" si="86"/>
        <v>1924608.1695621107</v>
      </c>
      <c r="L220" s="612">
        <f t="shared" si="86"/>
        <v>1924608.1695621107</v>
      </c>
      <c r="M220" s="612">
        <f t="shared" si="86"/>
        <v>1924608.1695621107</v>
      </c>
      <c r="N220" s="612">
        <f>N208-N216</f>
        <v>1924608.1695621107</v>
      </c>
      <c r="O220" s="612">
        <f t="shared" si="86"/>
        <v>1924608.1695621107</v>
      </c>
      <c r="P220" s="612">
        <f t="shared" si="86"/>
        <v>1924608.1695621107</v>
      </c>
      <c r="Q220" s="612">
        <f t="shared" si="86"/>
        <v>1924608.1695621107</v>
      </c>
      <c r="R220" s="612">
        <f t="shared" si="86"/>
        <v>1924608.1695621107</v>
      </c>
      <c r="S220" s="612">
        <f t="shared" si="86"/>
        <v>1924608.1695621107</v>
      </c>
      <c r="T220" s="612">
        <f t="shared" si="86"/>
        <v>1924608.1695621107</v>
      </c>
      <c r="U220" s="612">
        <f t="shared" si="86"/>
        <v>1924608.1695621107</v>
      </c>
      <c r="V220" s="612">
        <f t="shared" si="86"/>
        <v>1924608.1695621107</v>
      </c>
      <c r="W220" s="612">
        <f t="shared" si="86"/>
        <v>1924608.1695621107</v>
      </c>
      <c r="X220" s="612">
        <f t="shared" si="86"/>
        <v>1924608.1695621107</v>
      </c>
      <c r="Y220" s="612">
        <f t="shared" si="86"/>
        <v>1924608.1695621107</v>
      </c>
      <c r="Z220" s="612">
        <f t="shared" si="86"/>
        <v>1924608.1695621107</v>
      </c>
      <c r="AA220" s="612">
        <f t="shared" si="86"/>
        <v>1924608.1695621107</v>
      </c>
      <c r="AB220" s="612">
        <f t="shared" si="86"/>
        <v>1924608.1695621107</v>
      </c>
      <c r="AC220" s="613">
        <f t="shared" si="86"/>
        <v>1924608.1695621107</v>
      </c>
      <c r="AD220" s="280"/>
    </row>
    <row r="221" spans="1:35" x14ac:dyDescent="0.2">
      <c r="AD221" s="280"/>
    </row>
    <row r="222" spans="1:35" s="280" customFormat="1" ht="16" thickBot="1" x14ac:dyDescent="0.25">
      <c r="A222" s="291" t="s">
        <v>283</v>
      </c>
      <c r="B222" s="284">
        <f>IRR(C220:AC220)</f>
        <v>5.6542871081540547E-2</v>
      </c>
    </row>
    <row r="223" spans="1:35" s="280" customFormat="1" x14ac:dyDescent="0.2"/>
    <row r="224" spans="1:35" s="280" customFormat="1" x14ac:dyDescent="0.2"/>
    <row r="225" spans="1:30" x14ac:dyDescent="0.2">
      <c r="A225" s="228"/>
    </row>
    <row r="226" spans="1:30" x14ac:dyDescent="0.2">
      <c r="A226" s="25" t="s">
        <v>215</v>
      </c>
    </row>
    <row r="227" spans="1:30" x14ac:dyDescent="0.2">
      <c r="A227" s="197" t="s">
        <v>222</v>
      </c>
      <c r="B227" s="194" t="s">
        <v>20</v>
      </c>
      <c r="C227" s="195" t="s">
        <v>21</v>
      </c>
      <c r="D227" s="195" t="s">
        <v>22</v>
      </c>
      <c r="E227" s="195" t="s">
        <v>23</v>
      </c>
      <c r="F227" s="195" t="s">
        <v>24</v>
      </c>
      <c r="G227" s="196" t="s">
        <v>25</v>
      </c>
      <c r="H227" s="196" t="s">
        <v>26</v>
      </c>
      <c r="I227" s="196" t="s">
        <v>27</v>
      </c>
      <c r="J227" s="196" t="s">
        <v>28</v>
      </c>
      <c r="K227" s="196" t="s">
        <v>29</v>
      </c>
      <c r="L227" s="196" t="s">
        <v>30</v>
      </c>
      <c r="M227" s="193" t="s">
        <v>31</v>
      </c>
      <c r="N227" s="185" t="s">
        <v>53</v>
      </c>
    </row>
    <row r="228" spans="1:30" ht="16" thickBot="1" x14ac:dyDescent="0.25">
      <c r="A228" s="27" t="s">
        <v>217</v>
      </c>
      <c r="B228" s="247">
        <f t="shared" ref="B228:M228" si="87">B191</f>
        <v>246.4</v>
      </c>
      <c r="C228" s="247">
        <f t="shared" si="87"/>
        <v>246.40000000000003</v>
      </c>
      <c r="D228" s="247">
        <f t="shared" si="87"/>
        <v>198.00000000000006</v>
      </c>
      <c r="E228" s="247">
        <f t="shared" si="87"/>
        <v>178.2</v>
      </c>
      <c r="F228" s="247">
        <f t="shared" si="87"/>
        <v>126.50000000000003</v>
      </c>
      <c r="G228" s="247">
        <f t="shared" si="87"/>
        <v>55</v>
      </c>
      <c r="H228" s="247">
        <f t="shared" si="87"/>
        <v>55.000000000000007</v>
      </c>
      <c r="I228" s="247">
        <f t="shared" si="87"/>
        <v>55.000000000000007</v>
      </c>
      <c r="J228" s="247">
        <f t="shared" si="87"/>
        <v>126.50000000000001</v>
      </c>
      <c r="K228" s="247">
        <f t="shared" si="87"/>
        <v>178.20000000000002</v>
      </c>
      <c r="L228" s="247">
        <f t="shared" si="87"/>
        <v>198.00000000000003</v>
      </c>
      <c r="M228" s="247">
        <f t="shared" si="87"/>
        <v>246.40000000000006</v>
      </c>
      <c r="N228" s="247">
        <f>SUM(B228:M228)</f>
        <v>1909.6000000000004</v>
      </c>
    </row>
    <row r="229" spans="1:30" ht="17" thickTop="1" thickBot="1" x14ac:dyDescent="0.25">
      <c r="A229" s="280" t="s">
        <v>279</v>
      </c>
      <c r="B229" s="247">
        <f t="shared" ref="B229:N229" si="88">B198</f>
        <v>0</v>
      </c>
      <c r="C229" s="247">
        <f t="shared" si="88"/>
        <v>0</v>
      </c>
      <c r="D229" s="247">
        <f t="shared" si="88"/>
        <v>0</v>
      </c>
      <c r="E229" s="247">
        <f t="shared" si="88"/>
        <v>0</v>
      </c>
      <c r="F229" s="247">
        <f t="shared" si="88"/>
        <v>129337.76070928651</v>
      </c>
      <c r="G229" s="247">
        <f t="shared" si="88"/>
        <v>86402.387248729967</v>
      </c>
      <c r="H229" s="247">
        <f t="shared" si="88"/>
        <v>84352.254623800545</v>
      </c>
      <c r="I229" s="247">
        <f t="shared" si="88"/>
        <v>57761.35277428032</v>
      </c>
      <c r="J229" s="247">
        <f t="shared" si="88"/>
        <v>82755.098134415792</v>
      </c>
      <c r="K229" s="247">
        <f t="shared" si="88"/>
        <v>0</v>
      </c>
      <c r="L229" s="247">
        <f t="shared" si="88"/>
        <v>0</v>
      </c>
      <c r="M229" s="247">
        <f t="shared" si="88"/>
        <v>0</v>
      </c>
      <c r="N229" s="247">
        <f t="shared" si="88"/>
        <v>440608.85349051311</v>
      </c>
      <c r="O229" s="296"/>
    </row>
    <row r="230" spans="1:30" ht="16" thickTop="1" x14ac:dyDescent="0.2">
      <c r="O230" s="296"/>
    </row>
    <row r="231" spans="1:30" x14ac:dyDescent="0.2">
      <c r="O231" s="296"/>
    </row>
    <row r="232" spans="1:30" s="55" customFormat="1" x14ac:dyDescent="0.2">
      <c r="A232" s="197" t="s">
        <v>223</v>
      </c>
      <c r="B232" s="194" t="s">
        <v>20</v>
      </c>
      <c r="C232" s="195" t="s">
        <v>21</v>
      </c>
      <c r="D232" s="195" t="s">
        <v>22</v>
      </c>
      <c r="E232" s="195" t="s">
        <v>23</v>
      </c>
      <c r="F232" s="195" t="s">
        <v>24</v>
      </c>
      <c r="G232" s="196" t="s">
        <v>25</v>
      </c>
      <c r="H232" s="196" t="s">
        <v>26</v>
      </c>
      <c r="I232" s="196" t="s">
        <v>27</v>
      </c>
      <c r="J232" s="196" t="s">
        <v>28</v>
      </c>
      <c r="K232" s="196" t="s">
        <v>29</v>
      </c>
      <c r="L232" s="196" t="s">
        <v>30</v>
      </c>
      <c r="M232" s="193" t="s">
        <v>31</v>
      </c>
      <c r="N232" s="185" t="s">
        <v>53</v>
      </c>
      <c r="O232" s="296"/>
      <c r="P232" s="176"/>
      <c r="Q232" s="189"/>
      <c r="R232" s="190"/>
      <c r="S232" s="186"/>
      <c r="T232" s="176"/>
      <c r="U232" s="176"/>
      <c r="V232" s="176"/>
      <c r="W232" s="176"/>
      <c r="X232" s="176"/>
      <c r="Y232" s="176"/>
      <c r="Z232" s="176"/>
      <c r="AA232" s="176"/>
    </row>
    <row r="233" spans="1:30" s="55" customFormat="1" x14ac:dyDescent="0.2">
      <c r="A233" s="27" t="s">
        <v>218</v>
      </c>
      <c r="B233" s="192">
        <f>($P$87*B101+$P$88*B102+$P$89*B103+$P$90*B104+$P$91*B105+$P$92*B106+$P$93*B107+$P$94*B108+$P$95*B109+$P$96*B110)/P97</f>
        <v>224.00000000000003</v>
      </c>
      <c r="C233" s="192">
        <f t="shared" ref="C233:M233" si="89">(Q87*C101+Q88*C102+Q89*C103+Q90*C104+Q91*C105+Q92*C106+Q93*C107+Q94*C108+Q95*C109+Q96*C110)/Q97</f>
        <v>223.99999999999997</v>
      </c>
      <c r="D233" s="192">
        <f t="shared" si="89"/>
        <v>180</v>
      </c>
      <c r="E233" s="192">
        <f t="shared" si="89"/>
        <v>162</v>
      </c>
      <c r="F233" s="192">
        <f t="shared" si="89"/>
        <v>115.00000000000001</v>
      </c>
      <c r="G233" s="192">
        <f t="shared" si="89"/>
        <v>50</v>
      </c>
      <c r="H233" s="192">
        <f t="shared" si="89"/>
        <v>50</v>
      </c>
      <c r="I233" s="192">
        <f t="shared" si="89"/>
        <v>50</v>
      </c>
      <c r="J233" s="192">
        <f t="shared" si="89"/>
        <v>115</v>
      </c>
      <c r="K233" s="192">
        <f t="shared" si="89"/>
        <v>162</v>
      </c>
      <c r="L233" s="192">
        <f t="shared" si="89"/>
        <v>180</v>
      </c>
      <c r="M233" s="192">
        <f t="shared" si="89"/>
        <v>224</v>
      </c>
      <c r="N233" s="192">
        <f>SUM(B233:M233)</f>
        <v>1736</v>
      </c>
      <c r="O233" s="296"/>
      <c r="P233" s="176"/>
      <c r="Q233" s="189"/>
      <c r="R233" s="190"/>
      <c r="S233" s="186"/>
      <c r="T233" s="176"/>
      <c r="U233" s="176"/>
      <c r="V233" s="176"/>
      <c r="W233" s="176"/>
      <c r="X233" s="176"/>
      <c r="Y233" s="176"/>
      <c r="Z233" s="176"/>
      <c r="AA233" s="176"/>
    </row>
    <row r="234" spans="1:30" s="55" customFormat="1" x14ac:dyDescent="0.2">
      <c r="A234" s="280" t="s">
        <v>280</v>
      </c>
      <c r="B234" s="192">
        <f t="shared" ref="B234:M234" si="90">B233*B22</f>
        <v>0</v>
      </c>
      <c r="C234" s="192">
        <f t="shared" si="90"/>
        <v>0</v>
      </c>
      <c r="D234" s="192">
        <f t="shared" si="90"/>
        <v>0</v>
      </c>
      <c r="E234" s="192">
        <f t="shared" si="90"/>
        <v>0</v>
      </c>
      <c r="F234" s="192">
        <f t="shared" si="90"/>
        <v>117579.78246298773</v>
      </c>
      <c r="G234" s="192">
        <f t="shared" si="90"/>
        <v>78547.624771572708</v>
      </c>
      <c r="H234" s="192">
        <f t="shared" si="90"/>
        <v>76683.86783981866</v>
      </c>
      <c r="I234" s="192">
        <f t="shared" si="90"/>
        <v>52510.320703891193</v>
      </c>
      <c r="J234" s="192">
        <f t="shared" si="90"/>
        <v>75231.90739492343</v>
      </c>
      <c r="K234" s="192">
        <f t="shared" si="90"/>
        <v>0</v>
      </c>
      <c r="L234" s="192">
        <f t="shared" si="90"/>
        <v>0</v>
      </c>
      <c r="M234" s="192">
        <f t="shared" si="90"/>
        <v>0</v>
      </c>
      <c r="N234" s="192">
        <f>SUM(B234:M234)</f>
        <v>400553.50317319372</v>
      </c>
      <c r="O234" s="296"/>
      <c r="P234" s="176"/>
      <c r="Q234" s="189"/>
      <c r="R234" s="190"/>
      <c r="S234" s="186"/>
      <c r="T234" s="176"/>
      <c r="U234" s="176"/>
      <c r="V234" s="176"/>
      <c r="W234" s="176"/>
      <c r="X234" s="176"/>
      <c r="Y234" s="176"/>
      <c r="Z234" s="176"/>
      <c r="AA234" s="176"/>
    </row>
    <row r="235" spans="1:30" x14ac:dyDescent="0.2">
      <c r="O235" s="296"/>
    </row>
    <row r="236" spans="1:30" x14ac:dyDescent="0.2">
      <c r="A236" s="53" t="s">
        <v>224</v>
      </c>
      <c r="B236" s="194" t="s">
        <v>20</v>
      </c>
      <c r="C236" s="195" t="s">
        <v>21</v>
      </c>
      <c r="D236" s="195" t="s">
        <v>22</v>
      </c>
      <c r="E236" s="195" t="s">
        <v>23</v>
      </c>
      <c r="F236" s="195" t="s">
        <v>24</v>
      </c>
      <c r="G236" s="196" t="s">
        <v>25</v>
      </c>
      <c r="H236" s="196" t="s">
        <v>26</v>
      </c>
      <c r="I236" s="196" t="s">
        <v>27</v>
      </c>
      <c r="J236" s="196" t="s">
        <v>28</v>
      </c>
      <c r="K236" s="196" t="s">
        <v>29</v>
      </c>
      <c r="L236" s="196" t="s">
        <v>30</v>
      </c>
      <c r="M236" s="193" t="s">
        <v>31</v>
      </c>
      <c r="N236" s="185" t="s">
        <v>53</v>
      </c>
    </row>
    <row r="237" spans="1:30" x14ac:dyDescent="0.2">
      <c r="A237" t="s">
        <v>191</v>
      </c>
      <c r="B237" s="192">
        <f>B229-B234</f>
        <v>0</v>
      </c>
      <c r="C237" s="192">
        <f t="shared" ref="C237:N237" si="91">C229-C234</f>
        <v>0</v>
      </c>
      <c r="D237" s="192">
        <f t="shared" si="91"/>
        <v>0</v>
      </c>
      <c r="E237" s="192">
        <f t="shared" si="91"/>
        <v>0</v>
      </c>
      <c r="F237" s="192">
        <f t="shared" si="91"/>
        <v>11757.978246298779</v>
      </c>
      <c r="G237" s="192">
        <f t="shared" si="91"/>
        <v>7854.7624771572591</v>
      </c>
      <c r="H237" s="192">
        <f t="shared" si="91"/>
        <v>7668.3867839818849</v>
      </c>
      <c r="I237" s="192">
        <f t="shared" si="91"/>
        <v>5251.0320703891266</v>
      </c>
      <c r="J237" s="192">
        <f t="shared" si="91"/>
        <v>7523.1907394923619</v>
      </c>
      <c r="K237" s="192">
        <f t="shared" si="91"/>
        <v>0</v>
      </c>
      <c r="L237" s="192">
        <f t="shared" si="91"/>
        <v>0</v>
      </c>
      <c r="M237" s="192">
        <f t="shared" si="91"/>
        <v>0</v>
      </c>
      <c r="N237" s="192">
        <f t="shared" si="91"/>
        <v>40055.350317319389</v>
      </c>
    </row>
    <row r="240" spans="1:30" s="175" customFormat="1" ht="16" thickBot="1" x14ac:dyDescent="0.25">
      <c r="A240" s="218" t="s">
        <v>196</v>
      </c>
      <c r="B240" s="220" t="s">
        <v>186</v>
      </c>
      <c r="C240" s="220">
        <v>-2</v>
      </c>
      <c r="D240" s="221">
        <v>-1</v>
      </c>
      <c r="E240" s="221">
        <v>0</v>
      </c>
      <c r="F240" s="221">
        <v>1</v>
      </c>
      <c r="G240" s="221">
        <v>2</v>
      </c>
      <c r="H240" s="221">
        <v>3</v>
      </c>
      <c r="I240" s="221">
        <v>4</v>
      </c>
      <c r="J240" s="221">
        <v>5</v>
      </c>
      <c r="K240" s="221">
        <v>6</v>
      </c>
      <c r="L240" s="221">
        <v>7</v>
      </c>
      <c r="M240" s="221">
        <v>8</v>
      </c>
      <c r="N240" s="221">
        <v>9</v>
      </c>
      <c r="O240" s="221">
        <v>10</v>
      </c>
      <c r="P240" s="221">
        <v>11</v>
      </c>
      <c r="Q240" s="221">
        <v>12</v>
      </c>
      <c r="R240" s="221">
        <v>13</v>
      </c>
      <c r="S240" s="221">
        <v>14</v>
      </c>
      <c r="T240" s="221">
        <v>15</v>
      </c>
      <c r="U240" s="221">
        <v>16</v>
      </c>
      <c r="V240" s="221">
        <v>17</v>
      </c>
      <c r="W240" s="221">
        <v>18</v>
      </c>
      <c r="X240" s="221">
        <v>19</v>
      </c>
      <c r="Y240" s="222">
        <v>20</v>
      </c>
      <c r="Z240" s="222">
        <v>21</v>
      </c>
      <c r="AA240" s="221">
        <v>22</v>
      </c>
      <c r="AB240" s="221">
        <v>23</v>
      </c>
      <c r="AC240" s="221">
        <v>24</v>
      </c>
      <c r="AD240" s="223">
        <v>25</v>
      </c>
    </row>
    <row r="241" spans="1:31" s="175" customFormat="1" x14ac:dyDescent="0.2">
      <c r="A241" s="219" t="s">
        <v>203</v>
      </c>
      <c r="B241" s="224"/>
      <c r="C241" s="224"/>
      <c r="D241" s="198"/>
      <c r="E241" s="198"/>
      <c r="F241" s="198"/>
      <c r="G241" s="198"/>
      <c r="H241" s="198"/>
      <c r="I241" s="198"/>
      <c r="J241" s="198"/>
      <c r="K241" s="198"/>
      <c r="L241" s="198"/>
      <c r="M241" s="198"/>
      <c r="N241" s="198"/>
      <c r="O241" s="198"/>
      <c r="P241" s="198"/>
      <c r="Q241" s="198"/>
      <c r="R241" s="198"/>
      <c r="S241" s="198"/>
      <c r="T241" s="198"/>
      <c r="U241" s="198"/>
      <c r="V241" s="198"/>
      <c r="W241" s="198"/>
      <c r="X241" s="198"/>
      <c r="Y241" s="198"/>
      <c r="Z241" s="198"/>
      <c r="AA241" s="198"/>
      <c r="AB241" s="198"/>
      <c r="AC241" s="198"/>
      <c r="AD241" s="198"/>
    </row>
    <row r="242" spans="1:31" s="175" customFormat="1" ht="16" thickBot="1" x14ac:dyDescent="0.25">
      <c r="A242" s="217" t="s">
        <v>190</v>
      </c>
      <c r="B242" s="231">
        <f>NPV('ÄNDRINGSBARA PARAMETRAR'!B133,C242:AC242)</f>
        <v>4484821.3147232924</v>
      </c>
      <c r="C242" s="230">
        <v>0</v>
      </c>
      <c r="D242" s="225">
        <v>0</v>
      </c>
      <c r="E242" s="270">
        <f>N229</f>
        <v>440608.85349051311</v>
      </c>
      <c r="F242" s="225">
        <f>E242*(1+'ÄNDRINGSBARA PARAMETRAR'!$B$134)</f>
        <v>440608.85349051311</v>
      </c>
      <c r="G242" s="225">
        <f>F242*(1+'ÄNDRINGSBARA PARAMETRAR'!$B$134)</f>
        <v>440608.85349051311</v>
      </c>
      <c r="H242" s="225">
        <f>G242*(1+'ÄNDRINGSBARA PARAMETRAR'!$B$134)</f>
        <v>440608.85349051311</v>
      </c>
      <c r="I242" s="225">
        <f>H242*(1+'ÄNDRINGSBARA PARAMETRAR'!$B$134)</f>
        <v>440608.85349051311</v>
      </c>
      <c r="J242" s="225">
        <f>I242*(1+'ÄNDRINGSBARA PARAMETRAR'!$B$134)</f>
        <v>440608.85349051311</v>
      </c>
      <c r="K242" s="225">
        <f>J242*(1+'ÄNDRINGSBARA PARAMETRAR'!$B$134)</f>
        <v>440608.85349051311</v>
      </c>
      <c r="L242" s="225">
        <f>K242*(1+'ÄNDRINGSBARA PARAMETRAR'!$B$134)</f>
        <v>440608.85349051311</v>
      </c>
      <c r="M242" s="225">
        <f>L242*(1+'ÄNDRINGSBARA PARAMETRAR'!$B$134)</f>
        <v>440608.85349051311</v>
      </c>
      <c r="N242" s="225">
        <f>M242*(1+'ÄNDRINGSBARA PARAMETRAR'!$B$134)</f>
        <v>440608.85349051311</v>
      </c>
      <c r="O242" s="225">
        <f>N242*(1+'ÄNDRINGSBARA PARAMETRAR'!$B$134)</f>
        <v>440608.85349051311</v>
      </c>
      <c r="P242" s="225">
        <f>O242*(1+'ÄNDRINGSBARA PARAMETRAR'!$B$134)</f>
        <v>440608.85349051311</v>
      </c>
      <c r="Q242" s="225">
        <f>P242*(1+'ÄNDRINGSBARA PARAMETRAR'!$B$134)</f>
        <v>440608.85349051311</v>
      </c>
      <c r="R242" s="225">
        <f>Q242*(1+'ÄNDRINGSBARA PARAMETRAR'!$B$134)</f>
        <v>440608.85349051311</v>
      </c>
      <c r="S242" s="225">
        <f>R242*(1+'ÄNDRINGSBARA PARAMETRAR'!$B$134)</f>
        <v>440608.85349051311</v>
      </c>
      <c r="T242" s="225">
        <f>S242*(1+'ÄNDRINGSBARA PARAMETRAR'!$B$134)</f>
        <v>440608.85349051311</v>
      </c>
      <c r="U242" s="225">
        <f>T242*(1+'ÄNDRINGSBARA PARAMETRAR'!$B$134)</f>
        <v>440608.85349051311</v>
      </c>
      <c r="V242" s="225">
        <f>U242*(1+'ÄNDRINGSBARA PARAMETRAR'!$B$134)</f>
        <v>440608.85349051311</v>
      </c>
      <c r="W242" s="225">
        <f>V242*(1+'ÄNDRINGSBARA PARAMETRAR'!$B$134)</f>
        <v>440608.85349051311</v>
      </c>
      <c r="X242" s="225">
        <f>W242*(1+'ÄNDRINGSBARA PARAMETRAR'!$B$134)</f>
        <v>440608.85349051311</v>
      </c>
      <c r="Y242" s="225">
        <f>X242*(1+'ÄNDRINGSBARA PARAMETRAR'!$B$134)</f>
        <v>440608.85349051311</v>
      </c>
      <c r="Z242" s="225">
        <f>Y242*(1+'ÄNDRINGSBARA PARAMETRAR'!$B$134)</f>
        <v>440608.85349051311</v>
      </c>
      <c r="AA242" s="225">
        <f>Z242*(1+'ÄNDRINGSBARA PARAMETRAR'!$B$134)</f>
        <v>440608.85349051311</v>
      </c>
      <c r="AB242" s="225">
        <f>AA242*(1+'ÄNDRINGSBARA PARAMETRAR'!$B$134)</f>
        <v>440608.85349051311</v>
      </c>
      <c r="AC242" s="225">
        <f>AB242*(1+'ÄNDRINGSBARA PARAMETRAR'!$B$134)</f>
        <v>440608.85349051311</v>
      </c>
      <c r="AD242" s="225">
        <f>AC242*(1+'ÄNDRINGSBARA PARAMETRAR'!$B$134)</f>
        <v>440608.85349051311</v>
      </c>
    </row>
    <row r="243" spans="1:31" s="191" customFormat="1" ht="16" thickTop="1" x14ac:dyDescent="0.2">
      <c r="A243" s="280" t="s">
        <v>189</v>
      </c>
      <c r="B243" s="192">
        <f>NPV('ÄNDRINGSBARA PARAMETRAR'!B133,C243:AC243)</f>
        <v>4077110.2861120831</v>
      </c>
      <c r="C243" s="192">
        <v>0</v>
      </c>
      <c r="D243" s="192">
        <v>0</v>
      </c>
      <c r="E243" s="192">
        <f>N234</f>
        <v>400553.50317319372</v>
      </c>
      <c r="F243" s="192">
        <f>E243*(1+'ÄNDRINGSBARA PARAMETRAR'!$B$134)</f>
        <v>400553.50317319372</v>
      </c>
      <c r="G243" s="192">
        <f>F243*(1+'ÄNDRINGSBARA PARAMETRAR'!$B$134)</f>
        <v>400553.50317319372</v>
      </c>
      <c r="H243" s="192">
        <f>G243*(1+'ÄNDRINGSBARA PARAMETRAR'!$B$134)</f>
        <v>400553.50317319372</v>
      </c>
      <c r="I243" s="192">
        <f>H243*(1+'ÄNDRINGSBARA PARAMETRAR'!$B$134)</f>
        <v>400553.50317319372</v>
      </c>
      <c r="J243" s="192">
        <f>I243*(1+'ÄNDRINGSBARA PARAMETRAR'!$B$134)</f>
        <v>400553.50317319372</v>
      </c>
      <c r="K243" s="192">
        <f>J243*(1+'ÄNDRINGSBARA PARAMETRAR'!$B$134)</f>
        <v>400553.50317319372</v>
      </c>
      <c r="L243" s="192">
        <f>K243*(1+'ÄNDRINGSBARA PARAMETRAR'!$B$134)</f>
        <v>400553.50317319372</v>
      </c>
      <c r="M243" s="192">
        <f>L243*(1+'ÄNDRINGSBARA PARAMETRAR'!$B$134)</f>
        <v>400553.50317319372</v>
      </c>
      <c r="N243" s="192">
        <f>M243*(1+'ÄNDRINGSBARA PARAMETRAR'!$B$134)</f>
        <v>400553.50317319372</v>
      </c>
      <c r="O243" s="192">
        <f>N243*(1+'ÄNDRINGSBARA PARAMETRAR'!$B$134)</f>
        <v>400553.50317319372</v>
      </c>
      <c r="P243" s="192">
        <f>O243*(1+'ÄNDRINGSBARA PARAMETRAR'!$B$134)</f>
        <v>400553.50317319372</v>
      </c>
      <c r="Q243" s="192">
        <f>P243*(1+'ÄNDRINGSBARA PARAMETRAR'!$B$134)</f>
        <v>400553.50317319372</v>
      </c>
      <c r="R243" s="192">
        <f>Q243*(1+'ÄNDRINGSBARA PARAMETRAR'!$B$134)</f>
        <v>400553.50317319372</v>
      </c>
      <c r="S243" s="192">
        <f>R243*(1+'ÄNDRINGSBARA PARAMETRAR'!$B$134)</f>
        <v>400553.50317319372</v>
      </c>
      <c r="T243" s="192">
        <f>S243*(1+'ÄNDRINGSBARA PARAMETRAR'!$B$134)</f>
        <v>400553.50317319372</v>
      </c>
      <c r="U243" s="192">
        <f>T243*(1+'ÄNDRINGSBARA PARAMETRAR'!$B$134)</f>
        <v>400553.50317319372</v>
      </c>
      <c r="V243" s="192">
        <f>U243*(1+'ÄNDRINGSBARA PARAMETRAR'!$B$134)</f>
        <v>400553.50317319372</v>
      </c>
      <c r="W243" s="192">
        <f>V243*(1+'ÄNDRINGSBARA PARAMETRAR'!$B$134)</f>
        <v>400553.50317319372</v>
      </c>
      <c r="X243" s="192">
        <f>W243*(1+'ÄNDRINGSBARA PARAMETRAR'!$B$134)</f>
        <v>400553.50317319372</v>
      </c>
      <c r="Y243" s="192">
        <f>X243*(1+'ÄNDRINGSBARA PARAMETRAR'!$B$134)</f>
        <v>400553.50317319372</v>
      </c>
      <c r="Z243" s="192">
        <f>Y243*(1+'ÄNDRINGSBARA PARAMETRAR'!$B$134)</f>
        <v>400553.50317319372</v>
      </c>
      <c r="AA243" s="192">
        <f>Z243*(1+'ÄNDRINGSBARA PARAMETRAR'!$B$134)</f>
        <v>400553.50317319372</v>
      </c>
      <c r="AB243" s="192">
        <f>AA243*(1+'ÄNDRINGSBARA PARAMETRAR'!$B$134)</f>
        <v>400553.50317319372</v>
      </c>
      <c r="AC243" s="192">
        <f>AB243*(1+'ÄNDRINGSBARA PARAMETRAR'!$B$134)</f>
        <v>400553.50317319372</v>
      </c>
      <c r="AD243" s="192">
        <f>AC243*(1+'ÄNDRINGSBARA PARAMETRAR'!$B$134)</f>
        <v>400553.50317319372</v>
      </c>
      <c r="AE243" s="175"/>
    </row>
    <row r="244" spans="1:31" s="191" customFormat="1" x14ac:dyDescent="0.2">
      <c r="A244" s="280" t="s">
        <v>281</v>
      </c>
      <c r="B244" s="192">
        <f>NPV('ÄNDRINGSBARA PARAMETRAR'!B133,C244:AC244)</f>
        <v>3287935.2528735995</v>
      </c>
      <c r="C244" s="192">
        <v>0</v>
      </c>
      <c r="D244" s="192">
        <f>D214</f>
        <v>2314690.6839109082</v>
      </c>
      <c r="E244" s="192">
        <f>E214</f>
        <v>1551143.0342013617</v>
      </c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192"/>
      <c r="S244" s="192"/>
      <c r="T244" s="192"/>
      <c r="U244" s="192"/>
      <c r="V244" s="192"/>
      <c r="W244" s="192"/>
      <c r="X244" s="192"/>
      <c r="Y244" s="192"/>
      <c r="Z244" s="192"/>
      <c r="AA244" s="192"/>
      <c r="AB244" s="192"/>
      <c r="AC244" s="192"/>
      <c r="AD244" s="192"/>
      <c r="AE244" s="175"/>
    </row>
    <row r="245" spans="1:31" s="191" customFormat="1" x14ac:dyDescent="0.2">
      <c r="A245" s="280" t="s">
        <v>264</v>
      </c>
      <c r="B245" s="192">
        <f>NPV('ÄNDRINGSBARA PARAMETRAR'!B133,C245:AC245)</f>
        <v>2989032.048066908</v>
      </c>
      <c r="C245" s="192">
        <v>0</v>
      </c>
      <c r="D245" s="192">
        <f>D214/('ÄNDRINGSBARA PARAMETRAR'!$B$129+1)</f>
        <v>2104264.2581008254</v>
      </c>
      <c r="E245" s="192">
        <f>E214/('ÄNDRINGSBARA PARAMETRAR'!$B$129+1)</f>
        <v>1410130.0310921469</v>
      </c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  <c r="R245" s="192"/>
      <c r="S245" s="192"/>
      <c r="T245" s="192"/>
      <c r="U245" s="192"/>
      <c r="V245" s="192"/>
      <c r="W245" s="192"/>
      <c r="X245" s="192"/>
      <c r="Y245" s="192"/>
      <c r="Z245" s="192"/>
      <c r="AA245" s="192"/>
      <c r="AB245" s="192"/>
      <c r="AC245" s="192"/>
      <c r="AD245" s="192"/>
      <c r="AE245" s="175"/>
    </row>
    <row r="246" spans="1:31" s="175" customFormat="1" ht="16" thickBot="1" x14ac:dyDescent="0.25">
      <c r="A246" s="218" t="s">
        <v>195</v>
      </c>
      <c r="B246" s="290">
        <f>B242-B243+B244-B245</f>
        <v>706614.23341790074</v>
      </c>
      <c r="C246" s="215">
        <f t="shared" ref="C246:AD246" si="92">C242-C243</f>
        <v>0</v>
      </c>
      <c r="D246" s="215">
        <f t="shared" si="92"/>
        <v>0</v>
      </c>
      <c r="E246" s="293">
        <f t="shared" si="92"/>
        <v>40055.350317319389</v>
      </c>
      <c r="F246" s="226">
        <f t="shared" si="92"/>
        <v>40055.350317319389</v>
      </c>
      <c r="G246" s="226">
        <f t="shared" si="92"/>
        <v>40055.350317319389</v>
      </c>
      <c r="H246" s="226">
        <f t="shared" si="92"/>
        <v>40055.350317319389</v>
      </c>
      <c r="I246" s="226">
        <f t="shared" si="92"/>
        <v>40055.350317319389</v>
      </c>
      <c r="J246" s="226">
        <f t="shared" si="92"/>
        <v>40055.350317319389</v>
      </c>
      <c r="K246" s="226">
        <f t="shared" si="92"/>
        <v>40055.350317319389</v>
      </c>
      <c r="L246" s="226">
        <f t="shared" si="92"/>
        <v>40055.350317319389</v>
      </c>
      <c r="M246" s="226">
        <f t="shared" si="92"/>
        <v>40055.350317319389</v>
      </c>
      <c r="N246" s="226">
        <f t="shared" si="92"/>
        <v>40055.350317319389</v>
      </c>
      <c r="O246" s="226">
        <f t="shared" si="92"/>
        <v>40055.350317319389</v>
      </c>
      <c r="P246" s="226">
        <f t="shared" si="92"/>
        <v>40055.350317319389</v>
      </c>
      <c r="Q246" s="226">
        <f t="shared" si="92"/>
        <v>40055.350317319389</v>
      </c>
      <c r="R246" s="226">
        <f t="shared" si="92"/>
        <v>40055.350317319389</v>
      </c>
      <c r="S246" s="226">
        <f t="shared" si="92"/>
        <v>40055.350317319389</v>
      </c>
      <c r="T246" s="226">
        <f t="shared" si="92"/>
        <v>40055.350317319389</v>
      </c>
      <c r="U246" s="226">
        <f t="shared" si="92"/>
        <v>40055.350317319389</v>
      </c>
      <c r="V246" s="226">
        <f t="shared" si="92"/>
        <v>40055.350317319389</v>
      </c>
      <c r="W246" s="226">
        <f t="shared" si="92"/>
        <v>40055.350317319389</v>
      </c>
      <c r="X246" s="226">
        <f t="shared" si="92"/>
        <v>40055.350317319389</v>
      </c>
      <c r="Y246" s="226">
        <f t="shared" si="92"/>
        <v>40055.350317319389</v>
      </c>
      <c r="Z246" s="226">
        <f t="shared" si="92"/>
        <v>40055.350317319389</v>
      </c>
      <c r="AA246" s="226">
        <f t="shared" si="92"/>
        <v>40055.350317319389</v>
      </c>
      <c r="AB246" s="226">
        <f t="shared" si="92"/>
        <v>40055.350317319389</v>
      </c>
      <c r="AC246" s="226">
        <f t="shared" si="92"/>
        <v>40055.350317319389</v>
      </c>
      <c r="AD246" s="226">
        <f t="shared" si="92"/>
        <v>40055.350317319389</v>
      </c>
    </row>
    <row r="247" spans="1:31" s="175" customFormat="1" x14ac:dyDescent="0.2">
      <c r="A247" s="198"/>
      <c r="B247" s="283"/>
      <c r="C247" s="198"/>
      <c r="D247" s="198"/>
      <c r="E247" s="198"/>
      <c r="F247" s="198"/>
      <c r="G247" s="198"/>
      <c r="H247" s="198"/>
      <c r="I247" s="198"/>
      <c r="J247" s="198"/>
      <c r="K247" s="198"/>
      <c r="L247" s="198"/>
      <c r="M247" s="198"/>
      <c r="N247" s="198"/>
      <c r="O247" s="198"/>
      <c r="P247" s="198"/>
      <c r="Q247" s="198"/>
      <c r="R247" s="198"/>
      <c r="S247" s="198"/>
      <c r="T247" s="198"/>
      <c r="U247" s="198"/>
      <c r="V247" s="198"/>
      <c r="W247" s="198"/>
      <c r="X247" s="198"/>
      <c r="Y247" s="198"/>
      <c r="Z247" s="198"/>
      <c r="AA247" s="198"/>
      <c r="AB247" s="198"/>
      <c r="AC247" s="198"/>
      <c r="AD247" s="198"/>
    </row>
    <row r="268" spans="1:27" x14ac:dyDescent="0.2">
      <c r="A268" s="180"/>
      <c r="B268" s="207"/>
      <c r="C268" s="27"/>
      <c r="D268" s="27"/>
      <c r="E268" s="178"/>
      <c r="F268" s="182"/>
      <c r="G268" s="27"/>
    </row>
    <row r="269" spans="1:27" x14ac:dyDescent="0.2">
      <c r="C269" s="27"/>
      <c r="D269" s="101"/>
      <c r="E269" s="178"/>
      <c r="F269" s="182"/>
      <c r="G269" s="27"/>
    </row>
    <row r="270" spans="1:27" x14ac:dyDescent="0.2">
      <c r="C270" s="205"/>
      <c r="D270" s="205"/>
      <c r="E270" s="205"/>
      <c r="F270" s="205"/>
      <c r="G270" s="205"/>
      <c r="H270" s="205"/>
      <c r="I270" s="205"/>
      <c r="J270" s="205"/>
      <c r="K270" s="205"/>
      <c r="L270" s="205"/>
      <c r="M270" s="205"/>
      <c r="N270" s="205"/>
      <c r="O270" s="205"/>
      <c r="P270" s="205"/>
      <c r="Q270" s="205"/>
      <c r="R270" s="205"/>
      <c r="S270" s="205"/>
      <c r="T270" s="205"/>
      <c r="U270" s="205"/>
      <c r="V270" s="205"/>
      <c r="W270" s="205"/>
      <c r="X270" s="205"/>
      <c r="Y270" s="205"/>
      <c r="Z270" s="205"/>
      <c r="AA270" s="205"/>
    </row>
    <row r="271" spans="1:27" x14ac:dyDescent="0.2">
      <c r="C271" s="205"/>
      <c r="D271" s="205"/>
      <c r="E271" s="205"/>
      <c r="F271" s="205"/>
      <c r="G271" s="205"/>
      <c r="H271" s="205"/>
      <c r="I271" s="205"/>
      <c r="J271" s="205"/>
      <c r="K271" s="205"/>
      <c r="L271" s="205"/>
      <c r="M271" s="205"/>
      <c r="N271" s="205"/>
      <c r="O271" s="205"/>
      <c r="P271" s="205"/>
      <c r="Q271" s="205"/>
      <c r="R271" s="205"/>
      <c r="S271" s="205"/>
      <c r="T271" s="205"/>
      <c r="U271" s="205"/>
      <c r="V271" s="205"/>
      <c r="W271" s="205"/>
      <c r="X271" s="205"/>
      <c r="Y271" s="205"/>
      <c r="Z271" s="205"/>
      <c r="AA271" s="205"/>
    </row>
    <row r="272" spans="1:27" x14ac:dyDescent="0.2">
      <c r="C272" s="205"/>
      <c r="D272" s="205"/>
      <c r="E272" s="205"/>
      <c r="F272" s="205"/>
      <c r="G272" s="205"/>
      <c r="H272" s="205"/>
      <c r="I272" s="205"/>
      <c r="J272" s="205"/>
      <c r="K272" s="205"/>
      <c r="L272" s="205"/>
      <c r="M272" s="205"/>
      <c r="N272" s="205"/>
      <c r="O272" s="205"/>
      <c r="P272" s="205"/>
      <c r="Q272" s="205"/>
      <c r="R272" s="205"/>
      <c r="S272" s="205"/>
      <c r="T272" s="205"/>
      <c r="U272" s="205"/>
      <c r="V272" s="205"/>
      <c r="W272" s="205"/>
      <c r="X272" s="205"/>
      <c r="Y272" s="205"/>
      <c r="Z272" s="205"/>
      <c r="AA272" s="205"/>
    </row>
    <row r="273" spans="1:27" x14ac:dyDescent="0.2">
      <c r="C273" s="205"/>
      <c r="D273" s="205"/>
      <c r="E273" s="205"/>
      <c r="F273" s="205"/>
      <c r="G273" s="205"/>
      <c r="H273" s="205"/>
      <c r="I273" s="205"/>
      <c r="J273" s="205"/>
      <c r="K273" s="205"/>
      <c r="L273" s="205"/>
      <c r="M273" s="205"/>
      <c r="N273" s="205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  <c r="AA273" s="205"/>
    </row>
    <row r="274" spans="1:27" x14ac:dyDescent="0.2">
      <c r="C274" s="205"/>
      <c r="D274" s="205"/>
      <c r="E274" s="205"/>
      <c r="F274" s="205"/>
      <c r="G274" s="205"/>
      <c r="H274" s="205"/>
      <c r="I274" s="205"/>
      <c r="J274" s="205"/>
      <c r="K274" s="205"/>
      <c r="L274" s="205"/>
      <c r="M274" s="205"/>
      <c r="N274" s="205"/>
      <c r="O274" s="205"/>
      <c r="P274" s="205"/>
      <c r="Q274" s="205"/>
      <c r="R274" s="205"/>
      <c r="S274" s="205"/>
      <c r="T274" s="205"/>
      <c r="U274" s="205"/>
      <c r="V274" s="205"/>
      <c r="W274" s="205"/>
      <c r="X274" s="205"/>
      <c r="Y274" s="205"/>
      <c r="Z274" s="205"/>
      <c r="AA274" s="205"/>
    </row>
    <row r="275" spans="1:27" x14ac:dyDescent="0.2">
      <c r="A275" s="205"/>
      <c r="B275" s="205"/>
      <c r="C275" s="205"/>
      <c r="D275" s="205"/>
      <c r="E275" s="205"/>
      <c r="F275" s="205"/>
      <c r="G275" s="205"/>
      <c r="H275" s="205"/>
      <c r="I275" s="205"/>
      <c r="J275" s="205"/>
      <c r="K275" s="205"/>
      <c r="L275" s="205"/>
      <c r="M275" s="205"/>
      <c r="N275" s="205"/>
      <c r="O275" s="205"/>
      <c r="P275" s="205"/>
      <c r="Q275" s="205"/>
      <c r="R275" s="205"/>
      <c r="S275" s="205"/>
      <c r="T275" s="205"/>
      <c r="U275" s="205"/>
      <c r="V275" s="205"/>
      <c r="W275" s="205"/>
      <c r="X275" s="205"/>
      <c r="Y275" s="205"/>
      <c r="Z275" s="205"/>
      <c r="AA275" s="205"/>
    </row>
  </sheetData>
  <mergeCells count="9">
    <mergeCell ref="H160:J160"/>
    <mergeCell ref="H149:I149"/>
    <mergeCell ref="H144:I144"/>
    <mergeCell ref="H136:J136"/>
    <mergeCell ref="A69:M69"/>
    <mergeCell ref="C133:F133"/>
    <mergeCell ref="C144:F144"/>
    <mergeCell ref="C149:F149"/>
    <mergeCell ref="H133:J133"/>
  </mergeCells>
  <conditionalFormatting sqref="P97:AA97">
    <cfRule type="cellIs" dxfId="1" priority="3" operator="equal">
      <formula>1</formula>
    </cfRule>
  </conditionalFormatting>
  <conditionalFormatting sqref="B97:M97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INDATA</vt:lpstr>
      <vt:lpstr>UTDATA</vt:lpstr>
      <vt:lpstr>ÄNDRINGSBARA PARAMETRAR</vt:lpstr>
      <vt:lpstr>LÅSTA PARAMETRAR</vt:lpstr>
      <vt:lpstr>INTERNA BERÄKNINGAR</vt:lpstr>
    </vt:vector>
  </TitlesOfParts>
  <Company>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Oskar Räftegård</dc:creator>
  <cp:lastModifiedBy>Fredrik Martinsson</cp:lastModifiedBy>
  <cp:lastPrinted>2016-08-18T07:23:00Z</cp:lastPrinted>
  <dcterms:created xsi:type="dcterms:W3CDTF">2016-04-13T15:02:17Z</dcterms:created>
  <dcterms:modified xsi:type="dcterms:W3CDTF">2016-12-16T11:17:41Z</dcterms:modified>
</cp:coreProperties>
</file>